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527"/>
  <workbookPr defaultThemeVersion="124226"/>
  <mc:AlternateContent xmlns:mc="http://schemas.openxmlformats.org/markup-compatibility/2006">
    <mc:Choice Requires="x15">
      <x15ac:absPath xmlns:x15ac="http://schemas.microsoft.com/office/spreadsheetml/2010/11/ac" url="https://anmbr-my.sharepoint.com/personal/jose_toledo_anm_gov_br/Documents/1 - SENSGA - Serviço Nacional de Gestão de Serviços e Apoio Administrativo/3-Limpeza/5 - DF - MA - 48051.002830-2024-88/Doc do processo/"/>
    </mc:Choice>
  </mc:AlternateContent>
  <xr:revisionPtr revIDLastSave="275" documentId="8_{C5635014-A696-4FB0-AB18-D996F9B934BB}" xr6:coauthVersionLast="47" xr6:coauthVersionMax="47" xr10:uidLastSave="{D789A4DD-DDA7-4B3B-8433-CDA7C2C5DD0D}"/>
  <bookViews>
    <workbookView xWindow="-28920" yWindow="-90" windowWidth="29040" windowHeight="15840" tabRatio="924" firstSheet="1" activeTab="1" xr2:uid="{00000000-000D-0000-FFFF-FFFF00000000}"/>
  </bookViews>
  <sheets>
    <sheet name="Mód2.2" sheetId="9" state="hidden" r:id="rId1"/>
    <sheet name="Resumo" sheetId="18" r:id="rId2"/>
    <sheet name="Limpeza - Item 1" sheetId="4" r:id="rId3"/>
    <sheet name="Controle de pragas - Item 2" sheetId="22" r:id="rId4"/>
    <sheet name="Remanejamento - Item 3" sheetId="20" r:id="rId5"/>
    <sheet name="Jardinagem - Item4" sheetId="21" r:id="rId6"/>
    <sheet name="Mód2.3 " sheetId="12" r:id="rId7"/>
    <sheet name="Uniform&amp;EPIs " sheetId="11" r:id="rId8"/>
    <sheet name="Materiais" sheetId="14" r:id="rId9"/>
    <sheet name="Equipamentos" sheetId="15" r:id="rId10"/>
    <sheet name="Mód3" sheetId="8" state="hidden" r:id="rId11"/>
    <sheet name="Mód6" sheetId="6" state="hidden" r:id="rId12"/>
    <sheet name="Mód4" sheetId="10" state="hidden" r:id="rId13"/>
    <sheet name="FatorK" sheetId="7" r:id="rId14"/>
    <sheet name="MemóriaCálculo" sheetId="16" r:id="rId15"/>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3" i="18" l="1"/>
  <c r="K12" i="15" l="1"/>
  <c r="L12" i="15" s="1"/>
  <c r="L36" i="15" l="1"/>
  <c r="K39" i="15" s="1"/>
  <c r="K65" i="15" l="1"/>
  <c r="L65" i="15" s="1"/>
  <c r="K68" i="15" s="1"/>
  <c r="K70" i="15" s="1"/>
  <c r="I144" i="22" s="1"/>
  <c r="D30" i="14"/>
  <c r="J7" i="18"/>
  <c r="J6" i="18"/>
  <c r="K30" i="14" l="1"/>
  <c r="L30" i="14" s="1"/>
  <c r="B171" i="22" l="1"/>
  <c r="B169" i="22"/>
  <c r="B168" i="22"/>
  <c r="B167" i="22"/>
  <c r="B166" i="22"/>
  <c r="B165" i="22"/>
  <c r="H158" i="22"/>
  <c r="I142" i="22"/>
  <c r="I146" i="22" s="1"/>
  <c r="I169" i="22" s="1"/>
  <c r="I132" i="22"/>
  <c r="I137" i="22" s="1"/>
  <c r="H132" i="22"/>
  <c r="H107" i="22"/>
  <c r="I86" i="22"/>
  <c r="I85" i="22"/>
  <c r="I84" i="22"/>
  <c r="H75" i="22"/>
  <c r="H110" i="22" s="1"/>
  <c r="H52" i="22"/>
  <c r="H54" i="22" s="1"/>
  <c r="I39" i="22"/>
  <c r="I41" i="22" s="1"/>
  <c r="I28" i="22"/>
  <c r="H127" i="22" l="1"/>
  <c r="H55" i="22"/>
  <c r="H56" i="22"/>
  <c r="I40" i="22"/>
  <c r="I45" i="22" s="1"/>
  <c r="I7" i="18"/>
  <c r="I6" i="18"/>
  <c r="I123" i="22" l="1"/>
  <c r="I108" i="22"/>
  <c r="I165" i="22"/>
  <c r="I121" i="22"/>
  <c r="I72" i="22"/>
  <c r="I55" i="22"/>
  <c r="I106" i="22"/>
  <c r="I71" i="22"/>
  <c r="I111" i="22"/>
  <c r="I70" i="22"/>
  <c r="I122" i="22"/>
  <c r="I73" i="22"/>
  <c r="I69" i="22"/>
  <c r="I125" i="22"/>
  <c r="I68" i="22"/>
  <c r="I53" i="22"/>
  <c r="I124" i="22"/>
  <c r="I109" i="22"/>
  <c r="I110" i="22" s="1"/>
  <c r="I67" i="22"/>
  <c r="I52" i="22"/>
  <c r="I74" i="22"/>
  <c r="E185" i="4"/>
  <c r="E31" i="14"/>
  <c r="K31" i="14" s="1"/>
  <c r="L31" i="14" s="1"/>
  <c r="K11" i="14"/>
  <c r="I107" i="22" l="1"/>
  <c r="I112" i="22" s="1"/>
  <c r="I167" i="22" s="1"/>
  <c r="I75" i="22"/>
  <c r="I100" i="22" s="1"/>
  <c r="I54" i="22"/>
  <c r="I56" i="22" s="1"/>
  <c r="I99" i="22" s="1"/>
  <c r="I126" i="22"/>
  <c r="K26" i="15"/>
  <c r="L26" i="15" s="1"/>
  <c r="I127" i="22" l="1"/>
  <c r="I128" i="22" s="1"/>
  <c r="I136" i="22" s="1"/>
  <c r="I138" i="22" s="1"/>
  <c r="I168" i="22" s="1"/>
  <c r="I84" i="21"/>
  <c r="I84" i="20"/>
  <c r="AA84" i="4"/>
  <c r="I84" i="4"/>
  <c r="E10" i="12"/>
  <c r="I10" i="12"/>
  <c r="L10" i="12"/>
  <c r="L9" i="12"/>
  <c r="L12" i="12" s="1"/>
  <c r="K54" i="14"/>
  <c r="L54" i="14" s="1"/>
  <c r="K41" i="14"/>
  <c r="L41" i="14" s="1"/>
  <c r="K42" i="14"/>
  <c r="L42" i="14" s="1"/>
  <c r="K43" i="14"/>
  <c r="L43" i="14" s="1"/>
  <c r="K44" i="14"/>
  <c r="L44" i="14" s="1"/>
  <c r="K45" i="14"/>
  <c r="L45" i="14" s="1"/>
  <c r="K46" i="14"/>
  <c r="L46" i="14" s="1"/>
  <c r="K47" i="14"/>
  <c r="L47" i="14" s="1"/>
  <c r="K48" i="14"/>
  <c r="L48" i="14" s="1"/>
  <c r="K49" i="14"/>
  <c r="L49" i="14" s="1"/>
  <c r="K50" i="14"/>
  <c r="L50" i="14" s="1"/>
  <c r="K51" i="14"/>
  <c r="L51" i="14" s="1"/>
  <c r="K52" i="14"/>
  <c r="L52" i="14" s="1"/>
  <c r="K53" i="14"/>
  <c r="L53" i="14" s="1"/>
  <c r="B171" i="21"/>
  <c r="B169" i="21"/>
  <c r="B168" i="21"/>
  <c r="B167" i="21"/>
  <c r="B166" i="21"/>
  <c r="B165" i="21"/>
  <c r="H158" i="21"/>
  <c r="I132" i="21"/>
  <c r="I137" i="21" s="1"/>
  <c r="H132" i="21"/>
  <c r="H107" i="21"/>
  <c r="H75" i="21"/>
  <c r="H52" i="21"/>
  <c r="H54" i="21" s="1"/>
  <c r="I39" i="21"/>
  <c r="I28" i="21"/>
  <c r="I41" i="21" l="1"/>
  <c r="I40" i="21"/>
  <c r="I45" i="21" s="1"/>
  <c r="H55" i="21"/>
  <c r="H56" i="21" s="1"/>
  <c r="H127" i="21"/>
  <c r="H110" i="21"/>
  <c r="K22" i="14"/>
  <c r="K19" i="11"/>
  <c r="L19" i="11" s="1"/>
  <c r="K22" i="15"/>
  <c r="L22" i="15" s="1"/>
  <c r="K23" i="15"/>
  <c r="L23" i="15" s="1"/>
  <c r="K24" i="15"/>
  <c r="L24" i="15" s="1"/>
  <c r="K25" i="15"/>
  <c r="L25" i="15" s="1"/>
  <c r="K27" i="15"/>
  <c r="L27" i="15" s="1"/>
  <c r="E51" i="12"/>
  <c r="E59" i="12"/>
  <c r="E60" i="12"/>
  <c r="E42" i="12"/>
  <c r="I9" i="12"/>
  <c r="E9" i="12"/>
  <c r="I28" i="20"/>
  <c r="Z174" i="4"/>
  <c r="I88" i="22" l="1"/>
  <c r="I88" i="21"/>
  <c r="I88" i="4"/>
  <c r="I87" i="21"/>
  <c r="I87" i="22"/>
  <c r="I90" i="22" s="1"/>
  <c r="I101" i="22" s="1"/>
  <c r="I102" i="22" s="1"/>
  <c r="I166" i="22" s="1"/>
  <c r="I170" i="22" s="1"/>
  <c r="I152" i="22" s="1"/>
  <c r="I153" i="22" s="1"/>
  <c r="I172" i="22" s="1"/>
  <c r="I165" i="21"/>
  <c r="I125" i="21"/>
  <c r="I124" i="21"/>
  <c r="I123" i="21"/>
  <c r="I122" i="21"/>
  <c r="I121" i="21"/>
  <c r="I126" i="21" s="1"/>
  <c r="I111" i="21"/>
  <c r="I109" i="21"/>
  <c r="I110" i="21" s="1"/>
  <c r="I108" i="21"/>
  <c r="I106" i="21"/>
  <c r="I74" i="21"/>
  <c r="I73" i="21"/>
  <c r="I72" i="21"/>
  <c r="I71" i="21"/>
  <c r="I70" i="21"/>
  <c r="I69" i="21"/>
  <c r="I68" i="21"/>
  <c r="I67" i="21"/>
  <c r="I75" i="21" s="1"/>
  <c r="I100" i="21" s="1"/>
  <c r="I55" i="21"/>
  <c r="I53" i="21"/>
  <c r="I52" i="21"/>
  <c r="I54" i="21" s="1"/>
  <c r="I56" i="21" s="1"/>
  <c r="I99" i="21" s="1"/>
  <c r="H175" i="4"/>
  <c r="I155" i="22" l="1"/>
  <c r="G180" i="22"/>
  <c r="I180" i="22" s="1"/>
  <c r="I181" i="22" s="1"/>
  <c r="J5" i="18" s="1"/>
  <c r="I157" i="22"/>
  <c r="I156" i="22"/>
  <c r="I107" i="21"/>
  <c r="I112" i="21" s="1"/>
  <c r="I127" i="21"/>
  <c r="I128" i="21" s="1"/>
  <c r="I136" i="21" s="1"/>
  <c r="I138" i="21" s="1"/>
  <c r="I168" i="21" s="1"/>
  <c r="F185" i="4"/>
  <c r="I158" i="22" l="1"/>
  <c r="I171" i="22" s="1"/>
  <c r="I167" i="21"/>
  <c r="B171" i="20"/>
  <c r="B169" i="20"/>
  <c r="B168" i="20"/>
  <c r="B167" i="20"/>
  <c r="B166" i="20"/>
  <c r="B165" i="20"/>
  <c r="H158" i="20"/>
  <c r="I132" i="20"/>
  <c r="I137" i="20" s="1"/>
  <c r="H132" i="20"/>
  <c r="H107" i="20"/>
  <c r="H75" i="20"/>
  <c r="H110" i="20" s="1"/>
  <c r="H52" i="20"/>
  <c r="H54" i="20" s="1"/>
  <c r="I39" i="20"/>
  <c r="I40" i="20" s="1"/>
  <c r="Z175" i="4"/>
  <c r="H127" i="20" l="1"/>
  <c r="H55" i="20"/>
  <c r="H56" i="20" s="1"/>
  <c r="I41" i="20"/>
  <c r="I45" i="20" s="1"/>
  <c r="I70" i="20" l="1"/>
  <c r="I111" i="20"/>
  <c r="I125" i="20"/>
  <c r="I69" i="20"/>
  <c r="I124" i="20"/>
  <c r="I109" i="20"/>
  <c r="I110" i="20" s="1"/>
  <c r="I68" i="20"/>
  <c r="I53" i="20"/>
  <c r="I123" i="20"/>
  <c r="I108" i="20"/>
  <c r="I67" i="20"/>
  <c r="I52" i="20"/>
  <c r="I122" i="20"/>
  <c r="I74" i="20"/>
  <c r="I165" i="20"/>
  <c r="I121" i="20"/>
  <c r="I73" i="20"/>
  <c r="I106" i="20"/>
  <c r="I72" i="20"/>
  <c r="I55" i="20"/>
  <c r="I71" i="20"/>
  <c r="I126" i="20" l="1"/>
  <c r="I107" i="20"/>
  <c r="I112" i="20" s="1"/>
  <c r="I167" i="20" s="1"/>
  <c r="I54" i="20"/>
  <c r="I56" i="20" s="1"/>
  <c r="I99" i="20" s="1"/>
  <c r="I75" i="20"/>
  <c r="I100" i="20" s="1"/>
  <c r="I127" i="20" l="1"/>
  <c r="I128" i="20" s="1"/>
  <c r="I136" i="20" s="1"/>
  <c r="I138" i="20" s="1"/>
  <c r="I168" i="20" s="1"/>
  <c r="L171" i="4" l="1"/>
  <c r="L169" i="4"/>
  <c r="L168" i="4"/>
  <c r="L167" i="4"/>
  <c r="L166" i="4"/>
  <c r="L165" i="4"/>
  <c r="AA145" i="4" l="1"/>
  <c r="T171" i="4"/>
  <c r="T169" i="4"/>
  <c r="T168" i="4"/>
  <c r="T167" i="4"/>
  <c r="T166" i="4"/>
  <c r="T165" i="4"/>
  <c r="Z158" i="4"/>
  <c r="AA132" i="4"/>
  <c r="AA137" i="4" s="1"/>
  <c r="Z132" i="4"/>
  <c r="Z107" i="4"/>
  <c r="Z75" i="4"/>
  <c r="Z110" i="4" s="1"/>
  <c r="Z52" i="4"/>
  <c r="Z54" i="4" s="1"/>
  <c r="AA39" i="4"/>
  <c r="AA40" i="4" s="1"/>
  <c r="AA28" i="4"/>
  <c r="I12" i="12" l="1"/>
  <c r="Z127" i="4"/>
  <c r="Z55" i="4"/>
  <c r="Z56" i="4" s="1"/>
  <c r="AA41" i="4"/>
  <c r="AA45" i="4" s="1"/>
  <c r="AA123" i="4" l="1"/>
  <c r="AA73" i="4"/>
  <c r="AA124" i="4"/>
  <c r="AA74" i="4"/>
  <c r="AA125" i="4"/>
  <c r="AA67" i="4"/>
  <c r="AA121" i="4"/>
  <c r="AA68" i="4"/>
  <c r="AA55" i="4"/>
  <c r="AA69" i="4"/>
  <c r="AA53" i="4"/>
  <c r="AA70" i="4"/>
  <c r="AA52" i="4"/>
  <c r="AA54" i="4" s="1"/>
  <c r="AA71" i="4"/>
  <c r="AA122" i="4"/>
  <c r="AA72" i="4"/>
  <c r="AA109" i="4"/>
  <c r="AA110" i="4" s="1"/>
  <c r="AA165" i="4"/>
  <c r="AA108" i="4"/>
  <c r="AA106" i="4"/>
  <c r="AA111" i="4"/>
  <c r="AA126" i="4" l="1"/>
  <c r="AA127" i="4" s="1"/>
  <c r="AA128" i="4" s="1"/>
  <c r="AA136" i="4" s="1"/>
  <c r="AA138" i="4" s="1"/>
  <c r="AA168" i="4" s="1"/>
  <c r="AA75" i="4"/>
  <c r="AA100" i="4" s="1"/>
  <c r="AA56" i="4"/>
  <c r="AA99" i="4" s="1"/>
  <c r="AA107" i="4"/>
  <c r="AA112" i="4" s="1"/>
  <c r="AA167" i="4" l="1"/>
  <c r="I5" i="18" l="1"/>
  <c r="I3" i="18"/>
  <c r="K11" i="15" l="1"/>
  <c r="L11" i="15" s="1"/>
  <c r="K13" i="15"/>
  <c r="L13" i="15" s="1"/>
  <c r="K14" i="15"/>
  <c r="L14" i="15" s="1"/>
  <c r="K15" i="15"/>
  <c r="L15" i="15" s="1"/>
  <c r="K16" i="15"/>
  <c r="L16" i="15" s="1"/>
  <c r="K17" i="15"/>
  <c r="L17" i="15" s="1"/>
  <c r="K18" i="15"/>
  <c r="L18" i="15" s="1"/>
  <c r="K19" i="15"/>
  <c r="L19" i="15" s="1"/>
  <c r="K20" i="15"/>
  <c r="L20" i="15" s="1"/>
  <c r="K21" i="15"/>
  <c r="L21" i="15" s="1"/>
  <c r="K25" i="14"/>
  <c r="K29" i="14" l="1"/>
  <c r="L29" i="14" s="1"/>
  <c r="K28" i="14"/>
  <c r="L28" i="14" s="1"/>
  <c r="K27" i="14"/>
  <c r="L27" i="14" s="1"/>
  <c r="K26" i="14"/>
  <c r="L26" i="14" s="1"/>
  <c r="L25" i="14"/>
  <c r="K24" i="14"/>
  <c r="L24" i="14" s="1"/>
  <c r="K23" i="14"/>
  <c r="L23" i="14" s="1"/>
  <c r="L22" i="14"/>
  <c r="K21" i="14"/>
  <c r="L21" i="14" s="1"/>
  <c r="K20" i="14"/>
  <c r="L20" i="14" s="1"/>
  <c r="K19" i="14"/>
  <c r="L19" i="14" s="1"/>
  <c r="K18" i="14"/>
  <c r="L18" i="14" s="1"/>
  <c r="K17" i="14"/>
  <c r="L17" i="14" s="1"/>
  <c r="K16" i="14"/>
  <c r="L16" i="14" s="1"/>
  <c r="K15" i="14"/>
  <c r="L15" i="14" s="1"/>
  <c r="K14" i="14"/>
  <c r="L14" i="14" s="1"/>
  <c r="K13" i="14"/>
  <c r="L13" i="14" s="1"/>
  <c r="K12" i="14"/>
  <c r="L12" i="14" s="1"/>
  <c r="L11" i="14"/>
  <c r="K32" i="14" l="1"/>
  <c r="K18" i="11"/>
  <c r="L18" i="11" s="1"/>
  <c r="K17" i="11"/>
  <c r="L17" i="11" s="1"/>
  <c r="K16" i="11"/>
  <c r="L16" i="11" s="1"/>
  <c r="K15" i="11"/>
  <c r="L15" i="11" s="1"/>
  <c r="K14" i="11"/>
  <c r="L14" i="11" s="1"/>
  <c r="K13" i="11"/>
  <c r="L13" i="11" s="1"/>
  <c r="K12" i="11"/>
  <c r="L12" i="11" s="1"/>
  <c r="K11" i="11"/>
  <c r="L11" i="11" s="1"/>
  <c r="I75" i="16" l="1"/>
  <c r="I74" i="16"/>
  <c r="I73" i="16"/>
  <c r="I72" i="16"/>
  <c r="I71" i="16"/>
  <c r="I21" i="16"/>
  <c r="I23" i="16" s="1"/>
  <c r="I25" i="16" s="1"/>
  <c r="K34" i="14" l="1"/>
  <c r="K20" i="11"/>
  <c r="K22" i="11" s="1"/>
  <c r="K25" i="11" s="1"/>
  <c r="I142" i="21" s="1"/>
  <c r="I146" i="21" s="1"/>
  <c r="I76" i="16"/>
  <c r="I77" i="16" s="1"/>
  <c r="I78" i="16" s="1"/>
  <c r="K55" i="14"/>
  <c r="K57" i="14" s="1"/>
  <c r="K28" i="15"/>
  <c r="K30" i="15" l="1"/>
  <c r="K42" i="15" s="1"/>
  <c r="I169" i="21"/>
  <c r="I142" i="20"/>
  <c r="I146" i="20" s="1"/>
  <c r="AA142" i="4" a="1"/>
  <c r="AA142" i="4" s="1"/>
  <c r="I142" i="4"/>
  <c r="K61" i="14"/>
  <c r="K60" i="14"/>
  <c r="I19" i="10"/>
  <c r="I25" i="10"/>
  <c r="I23" i="10"/>
  <c r="I21" i="10"/>
  <c r="I17" i="10"/>
  <c r="H107" i="4"/>
  <c r="AA144" i="4" l="1"/>
  <c r="I144" i="4"/>
  <c r="I169" i="20"/>
  <c r="K62" i="14"/>
  <c r="I143" i="4" s="1"/>
  <c r="J27" i="10"/>
  <c r="P31" i="10"/>
  <c r="AA143" i="4" l="1"/>
  <c r="AA146" i="4" l="1"/>
  <c r="AA169" i="4" s="1"/>
  <c r="H132" i="4"/>
  <c r="I132" i="4"/>
  <c r="I137" i="4" s="1"/>
  <c r="H158" i="4" l="1"/>
  <c r="H1" i="6" l="1"/>
  <c r="E13" i="8"/>
  <c r="E12" i="8"/>
  <c r="E21" i="12"/>
  <c r="H75" i="4"/>
  <c r="H110" i="4" l="1"/>
  <c r="H127" i="4"/>
  <c r="P39" i="8"/>
  <c r="C26" i="8"/>
  <c r="G26" i="8"/>
  <c r="G39" i="8"/>
  <c r="E25" i="12"/>
  <c r="I85" i="21" s="1"/>
  <c r="I85" i="20" l="1"/>
  <c r="I146" i="4"/>
  <c r="J91" i="8"/>
  <c r="G25" i="8"/>
  <c r="G51" i="8"/>
  <c r="C51" i="8"/>
  <c r="C25" i="8"/>
  <c r="B89" i="8"/>
  <c r="G76" i="8"/>
  <c r="B88" i="8"/>
  <c r="B87" i="8"/>
  <c r="B86" i="8"/>
  <c r="B85" i="8"/>
  <c r="P65" i="8"/>
  <c r="AA89" i="4"/>
  <c r="I85" i="4"/>
  <c r="C17" i="9"/>
  <c r="C16" i="9"/>
  <c r="H52" i="4"/>
  <c r="H54" i="4" s="1"/>
  <c r="I87" i="20" l="1"/>
  <c r="AA85" i="4"/>
  <c r="I87" i="4"/>
  <c r="H55" i="4"/>
  <c r="H56" i="4" s="1"/>
  <c r="G52" i="8"/>
  <c r="AA87" i="4" l="1"/>
  <c r="G65" i="8"/>
  <c r="C52" i="8"/>
  <c r="I169" i="4" l="1"/>
  <c r="G63" i="8"/>
  <c r="G37" i="8"/>
  <c r="H9" i="9"/>
  <c r="C9" i="9"/>
  <c r="F19" i="9" l="1"/>
  <c r="I39" i="4"/>
  <c r="E12" i="12" s="1"/>
  <c r="I28" i="4"/>
  <c r="I40" i="4" l="1"/>
  <c r="I41" i="4"/>
  <c r="B171" i="4"/>
  <c r="B169" i="4"/>
  <c r="B168" i="4"/>
  <c r="B167" i="4"/>
  <c r="B165" i="4"/>
  <c r="B166" i="4"/>
  <c r="I45" i="4" l="1"/>
  <c r="E33" i="12" l="1"/>
  <c r="I86" i="21" s="1"/>
  <c r="I90" i="21" s="1"/>
  <c r="I101" i="21" s="1"/>
  <c r="I102" i="21" s="1"/>
  <c r="I121" i="4"/>
  <c r="I55" i="4"/>
  <c r="I124" i="4"/>
  <c r="I165" i="4"/>
  <c r="I123" i="4"/>
  <c r="I122" i="4"/>
  <c r="I106" i="4"/>
  <c r="I108" i="4"/>
  <c r="I125" i="4"/>
  <c r="I109" i="4"/>
  <c r="I110" i="4" s="1"/>
  <c r="I111" i="4"/>
  <c r="I67" i="4"/>
  <c r="I68" i="4"/>
  <c r="I74" i="4"/>
  <c r="I69" i="4"/>
  <c r="I73" i="4"/>
  <c r="I72" i="4"/>
  <c r="I71" i="4"/>
  <c r="I70" i="4"/>
  <c r="D7" i="10"/>
  <c r="J52" i="8"/>
  <c r="I52" i="4"/>
  <c r="I53" i="4"/>
  <c r="G47" i="8"/>
  <c r="G59" i="8"/>
  <c r="C20" i="8"/>
  <c r="C5" i="9"/>
  <c r="C47" i="8"/>
  <c r="D46" i="10"/>
  <c r="G33" i="8"/>
  <c r="H5" i="9"/>
  <c r="G20" i="8"/>
  <c r="I166" i="21" l="1"/>
  <c r="I170" i="21" s="1"/>
  <c r="I152" i="21" s="1"/>
  <c r="I153" i="21" s="1"/>
  <c r="I172" i="21"/>
  <c r="I86" i="20"/>
  <c r="I86" i="4"/>
  <c r="I126" i="4"/>
  <c r="I127" i="4" s="1"/>
  <c r="I128" i="4" s="1"/>
  <c r="I136" i="4" s="1"/>
  <c r="I138" i="4" s="1"/>
  <c r="I168" i="4" s="1"/>
  <c r="I54" i="4"/>
  <c r="I56" i="4" s="1"/>
  <c r="I99" i="4" s="1"/>
  <c r="I107" i="4"/>
  <c r="I112" i="4" s="1"/>
  <c r="I167" i="4" s="1"/>
  <c r="I75" i="4"/>
  <c r="I87" i="8"/>
  <c r="I91" i="8" s="1"/>
  <c r="G186" i="21" l="1"/>
  <c r="I186" i="21" s="1"/>
  <c r="I187" i="21" s="1"/>
  <c r="K7" i="18" s="1"/>
  <c r="G180" i="21"/>
  <c r="I180" i="21" s="1"/>
  <c r="I181" i="21" s="1"/>
  <c r="I157" i="21"/>
  <c r="I156" i="21"/>
  <c r="I155" i="21"/>
  <c r="I88" i="20"/>
  <c r="I90" i="20" s="1"/>
  <c r="I101" i="20" s="1"/>
  <c r="I102" i="20" s="1"/>
  <c r="I166" i="20" s="1"/>
  <c r="I170" i="20" s="1"/>
  <c r="I152" i="20" s="1"/>
  <c r="I153" i="20" s="1"/>
  <c r="I172" i="20" s="1"/>
  <c r="AA86" i="4"/>
  <c r="C6" i="9"/>
  <c r="C7" i="9" s="1"/>
  <c r="C11" i="9" s="1"/>
  <c r="G22" i="8" s="1"/>
  <c r="G74" i="8"/>
  <c r="G78" i="8" s="1"/>
  <c r="H89" i="8" s="1"/>
  <c r="G34" i="8"/>
  <c r="G35" i="8" s="1"/>
  <c r="G41" i="8" s="1"/>
  <c r="G60" i="8"/>
  <c r="G61" i="8" s="1"/>
  <c r="G67" i="8" s="1"/>
  <c r="H6" i="9"/>
  <c r="H7" i="9" s="1"/>
  <c r="H11" i="9" s="1"/>
  <c r="P33" i="8" s="1"/>
  <c r="P35" i="8" s="1"/>
  <c r="P41" i="8" s="1"/>
  <c r="I100" i="4"/>
  <c r="I158" i="21" l="1"/>
  <c r="I171" i="21" s="1"/>
  <c r="G181" i="20"/>
  <c r="I181" i="20" s="1"/>
  <c r="I182" i="20" s="1"/>
  <c r="I156" i="20"/>
  <c r="I157" i="20"/>
  <c r="I155" i="20"/>
  <c r="K5" i="18"/>
  <c r="I90" i="4"/>
  <c r="I101" i="4" s="1"/>
  <c r="I102" i="4" s="1"/>
  <c r="I166" i="4" s="1"/>
  <c r="I170" i="4" s="1"/>
  <c r="AA88" i="4"/>
  <c r="AA90" i="4" s="1"/>
  <c r="AA101" i="4" s="1"/>
  <c r="AA102" i="4" s="1"/>
  <c r="AA166" i="4" s="1"/>
  <c r="AA170" i="4" s="1"/>
  <c r="AA152" i="4" s="1"/>
  <c r="AA153" i="4" s="1"/>
  <c r="AA172" i="4" s="1"/>
  <c r="AA174" i="4" s="1"/>
  <c r="C22" i="8"/>
  <c r="H86" i="8"/>
  <c r="P59" i="8"/>
  <c r="P61" i="8" s="1"/>
  <c r="P67" i="8" s="1"/>
  <c r="H88" i="8"/>
  <c r="K88" i="8"/>
  <c r="K86" i="8"/>
  <c r="F16" i="9"/>
  <c r="F17" i="9"/>
  <c r="I158" i="20" l="1"/>
  <c r="I171" i="20" s="1"/>
  <c r="AA157" i="4"/>
  <c r="AA156" i="4"/>
  <c r="AA155" i="4"/>
  <c r="F21" i="9"/>
  <c r="G48" i="8"/>
  <c r="G49" i="8" s="1"/>
  <c r="G54" i="8" s="1"/>
  <c r="K87" i="8" s="1"/>
  <c r="D8" i="10"/>
  <c r="G21" i="8"/>
  <c r="G23" i="8" s="1"/>
  <c r="G28" i="8" s="1"/>
  <c r="K85" i="8" s="1"/>
  <c r="C21" i="8"/>
  <c r="C23" i="8" s="1"/>
  <c r="C28" i="8" s="1"/>
  <c r="C48" i="8"/>
  <c r="C49" i="8" s="1"/>
  <c r="C54" i="8" s="1"/>
  <c r="H87" i="8" s="1"/>
  <c r="D47" i="10"/>
  <c r="K91" i="8" l="1"/>
  <c r="H85" i="8"/>
  <c r="H91" i="8" s="1"/>
  <c r="D48" i="10" l="1"/>
  <c r="D50" i="10" s="1"/>
  <c r="D54" i="10" s="1"/>
  <c r="D58" i="10" s="1"/>
  <c r="D9" i="10"/>
  <c r="D11" i="10" s="1"/>
  <c r="D15" i="10" s="1"/>
  <c r="E36" i="10" l="1"/>
  <c r="E30" i="10"/>
  <c r="E28" i="10"/>
  <c r="E34" i="10"/>
  <c r="E32" i="10"/>
  <c r="J38" i="10" l="1"/>
  <c r="I152" i="4" l="1"/>
  <c r="I153" i="4" l="1"/>
  <c r="I4" i="6" s="1"/>
  <c r="I6" i="6" s="1"/>
  <c r="I8" i="6" s="1"/>
  <c r="I172" i="4" l="1"/>
  <c r="I174" i="4" l="1"/>
  <c r="I156" i="4"/>
  <c r="I155" i="4"/>
  <c r="I157" i="4"/>
  <c r="B3" i="7"/>
  <c r="A175" i="4" l="1"/>
  <c r="G185" i="4" s="1"/>
  <c r="I185" i="4" s="1"/>
  <c r="AA158" i="4"/>
  <c r="AA171" i="4" s="1"/>
  <c r="K6" i="18"/>
  <c r="I158" i="4"/>
  <c r="I171" i="4" s="1"/>
  <c r="G193" i="4" l="1"/>
  <c r="I193" i="4" s="1"/>
  <c r="I194" i="4" s="1"/>
  <c r="I186" i="4"/>
  <c r="G202" i="4"/>
  <c r="K3" i="18" l="1"/>
  <c r="G211" i="4"/>
  <c r="I211" i="4" s="1"/>
  <c r="I212" i="4" s="1"/>
  <c r="I202" i="4"/>
  <c r="I203" i="4" s="1"/>
  <c r="K8" i="18" l="1"/>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<sst xmlns="http://schemas.openxmlformats.org/spreadsheetml/2006/main" count="2223" uniqueCount="570">
  <si>
    <t>GPS</t>
  </si>
  <si>
    <t>FGTS</t>
  </si>
  <si>
    <t>Base de Cálculo</t>
  </si>
  <si>
    <t>Módulo 1</t>
  </si>
  <si>
    <t>Submódulo 2.1</t>
  </si>
  <si>
    <t>Total</t>
  </si>
  <si>
    <t>Percentual</t>
  </si>
  <si>
    <t>Valor GPS</t>
  </si>
  <si>
    <t>Valor FGTS</t>
  </si>
  <si>
    <t>GPS, FGTS e Outras Contribuições</t>
  </si>
  <si>
    <t>Percentual total</t>
  </si>
  <si>
    <t>TOTAL SUBMÓDULO 2.2</t>
  </si>
  <si>
    <t>GRUPO</t>
  </si>
  <si>
    <t>ITEM</t>
  </si>
  <si>
    <t>ESPECIFICAÇÃO DOS SERVIÇOS</t>
  </si>
  <si>
    <t>CATSER</t>
  </si>
  <si>
    <t>UNIDADE DE MEDIDA</t>
  </si>
  <si>
    <t>Periodocidade</t>
  </si>
  <si>
    <t>Quantidade</t>
  </si>
  <si>
    <t>Periodicidade em 5 anos</t>
  </si>
  <si>
    <t>QUANTIDADE TOTAL NO CONTRATO (60 MESES)</t>
  </si>
  <si>
    <t>VALOR UNITÁRIO</t>
  </si>
  <si>
    <t>VALOR TOTAL DO CONTRATO (60 MESES)</t>
  </si>
  <si>
    <t>SERVIÇO PAGO MENSALMENTE</t>
  </si>
  <si>
    <t>Prestação de serviço de limpeza e conservação com dedicação de mão de obra exclusiva</t>
  </si>
  <si>
    <t>m²</t>
  </si>
  <si>
    <t>Mensal</t>
  </si>
  <si>
    <t>SERVIÇO PAGO QUANDO REALIZADO</t>
  </si>
  <si>
    <t>6220-10</t>
  </si>
  <si>
    <t>Desinsetização / Desratização / Dedetização</t>
  </si>
  <si>
    <r>
      <t xml:space="preserve">Remanejamento de equipamento / mobiliário </t>
    </r>
    <r>
      <rPr>
        <sz val="10"/>
        <color rgb="FFFF0000"/>
        <rFont val="Arial"/>
        <family val="2"/>
      </rPr>
      <t>(sob  demanda)</t>
    </r>
  </si>
  <si>
    <t>unidade (DIA)</t>
  </si>
  <si>
    <t>Sob demanda</t>
  </si>
  <si>
    <t>MODELO DE PLANILHA DE CUSTOS E FORMAÇÃO DE PREÇOS</t>
  </si>
  <si>
    <t>PCFP</t>
  </si>
  <si>
    <r>
      <rPr>
        <b/>
        <sz val="10"/>
        <color rgb="FF000000"/>
        <rFont val="Arial"/>
        <family val="2"/>
      </rPr>
      <t>Nº do Processo</t>
    </r>
    <r>
      <rPr>
        <sz val="10"/>
        <color rgb="FF000000"/>
        <rFont val="Arial"/>
        <family val="2"/>
      </rPr>
      <t>:   48051.002830/2024-88</t>
    </r>
  </si>
  <si>
    <r>
      <rPr>
        <b/>
        <sz val="10"/>
        <rFont val="Arial"/>
        <family val="2"/>
      </rPr>
      <t>Nº do Processo</t>
    </r>
    <r>
      <rPr>
        <sz val="10"/>
        <rFont val="Arial"/>
        <family val="2"/>
      </rPr>
      <t xml:space="preserve">: </t>
    </r>
  </si>
  <si>
    <r>
      <rPr>
        <b/>
        <sz val="10"/>
        <rFont val="Arial"/>
        <family val="2"/>
      </rPr>
      <t>Licitação Nº</t>
    </r>
    <r>
      <rPr>
        <sz val="10"/>
        <rFont val="Arial"/>
        <family val="2"/>
      </rPr>
      <t>: ....................... ............/...............</t>
    </r>
  </si>
  <si>
    <t>Dia ........../........../......... às ........ : ...... horas</t>
  </si>
  <si>
    <t>Discriminação dos Serviços (Dados Referentes à Contratação)</t>
  </si>
  <si>
    <t>A</t>
  </si>
  <si>
    <t>Data de apresentação da proposta (dia/mês/ano):</t>
  </si>
  <si>
    <t>B</t>
  </si>
  <si>
    <t>Município/UF:</t>
  </si>
  <si>
    <t>Brasília/DF</t>
  </si>
  <si>
    <t>C</t>
  </si>
  <si>
    <t>Número e ano do Acordo, Convenção ou Dissídio Coletivo:</t>
  </si>
  <si>
    <t>DF000042/2025</t>
  </si>
  <si>
    <t>D</t>
  </si>
  <si>
    <t>Número de meses de execução contratual:</t>
  </si>
  <si>
    <t>Identificação do Serviço</t>
  </si>
  <si>
    <t>Tipo de Serviço</t>
  </si>
  <si>
    <t>Unidade de Medida</t>
  </si>
  <si>
    <t>Quantidade total a contratar (em função da unidade de medida)</t>
  </si>
  <si>
    <t>Limpeza e Conservação</t>
  </si>
  <si>
    <r>
      <rPr>
        <b/>
        <sz val="10"/>
        <rFont val="Arial"/>
        <family val="2"/>
      </rPr>
      <t>Nota 1</t>
    </r>
    <r>
      <rPr>
        <sz val="10"/>
        <rFont val="Arial"/>
        <family val="2"/>
      </rPr>
      <t xml:space="preserve">: Esta tabela poderá ser adaptada às características do serviço contratado, inclusive no que concerne </t>
    </r>
  </si>
  <si>
    <t>às rubricas e suas respectivas provisões e/ou estimativas, desde que haja justificativa.</t>
  </si>
  <si>
    <r>
      <rPr>
        <b/>
        <sz val="10"/>
        <rFont val="Arial"/>
        <family val="2"/>
      </rPr>
      <t>Nota 2</t>
    </r>
    <r>
      <rPr>
        <sz val="10"/>
        <rFont val="Arial"/>
        <family val="2"/>
      </rPr>
      <t xml:space="preserve">: As  provisões  constantes  desta  planilha  poderão  ser desnecessárias quando  se  tratar  de  determinados </t>
    </r>
  </si>
  <si>
    <t>serviços que prescindam da dedicação exclusiva dos trabalhadores da contratada para com a Administração</t>
  </si>
  <si>
    <t>1. MÓDULOS</t>
  </si>
  <si>
    <t>Mão de obra</t>
  </si>
  <si>
    <t>Mão de obra vinculada à execução contratual</t>
  </si>
  <si>
    <t>Dados para composição dos custos referentes à mão-de-obra</t>
  </si>
  <si>
    <t>Tipo de serviço (mesmo serviço com características distintas)</t>
  </si>
  <si>
    <t>Classificação Brasileira de Ocupações (CBO)</t>
  </si>
  <si>
    <t>5143-20</t>
  </si>
  <si>
    <t>4101-05</t>
  </si>
  <si>
    <t>Salário Nominativo da Categoria Profissional</t>
  </si>
  <si>
    <t>Categoria profissional (vinculada à execução contratual)</t>
  </si>
  <si>
    <t>Servente</t>
  </si>
  <si>
    <t>Encarregado de limpeza</t>
  </si>
  <si>
    <t>Data-base da categoria (dia/mês/ano)</t>
  </si>
  <si>
    <r>
      <rPr>
        <b/>
        <sz val="10"/>
        <rFont val="Arial"/>
        <family val="2"/>
      </rPr>
      <t>Nota 1</t>
    </r>
    <r>
      <rPr>
        <sz val="10"/>
        <rFont val="Arial"/>
        <family val="2"/>
      </rPr>
      <t>: Deverá ser elaborado um quadro para cada tipo de serviço.</t>
    </r>
  </si>
  <si>
    <r>
      <rPr>
        <b/>
        <sz val="10"/>
        <rFont val="Arial"/>
        <family val="2"/>
      </rPr>
      <t>Nota 2</t>
    </r>
    <r>
      <rPr>
        <sz val="10"/>
        <rFont val="Arial"/>
        <family val="2"/>
      </rPr>
      <t xml:space="preserve">: A planilha será calculada considerando o </t>
    </r>
    <r>
      <rPr>
        <b/>
        <sz val="10"/>
        <rFont val="Arial"/>
        <family val="2"/>
      </rPr>
      <t>valor mensal</t>
    </r>
    <r>
      <rPr>
        <sz val="10"/>
        <rFont val="Arial"/>
        <family val="2"/>
      </rPr>
      <t xml:space="preserve"> do empregado.</t>
    </r>
  </si>
  <si>
    <t>MÓDULO 1 - COMPOSIÇÃO DA REMUNERAÇÃO</t>
  </si>
  <si>
    <t>COMPOSIÇÃO DA REMUNERAÇÃO</t>
  </si>
  <si>
    <t>%</t>
  </si>
  <si>
    <t>VALOR (R$)</t>
  </si>
  <si>
    <t>Salário Base</t>
  </si>
  <si>
    <t xml:space="preserve">Adicional Periculosidade </t>
  </si>
  <si>
    <t>caso a CCT fixe percentual maior, o percentual poderá ser alterado</t>
  </si>
  <si>
    <t>Adicional Insalubridade</t>
  </si>
  <si>
    <t>Adicional Noturno</t>
  </si>
  <si>
    <t>mera estimativa com base em pesquisas contratuais devido a complexidade da legislação trabalhista, com memorial de cálculo a critério do licitante.</t>
  </si>
  <si>
    <t>E</t>
  </si>
  <si>
    <t>Adicional de Hora Noturna Reduzida</t>
  </si>
  <si>
    <t>F</t>
  </si>
  <si>
    <t>Outros (especificar)</t>
  </si>
  <si>
    <t>TOTAL DO MÓDULO 1</t>
  </si>
  <si>
    <r>
      <rPr>
        <b/>
        <sz val="10"/>
        <rFont val="Arial"/>
        <family val="2"/>
      </rPr>
      <t>Nota 1</t>
    </r>
    <r>
      <rPr>
        <sz val="10"/>
        <rFont val="Arial"/>
        <family val="2"/>
      </rPr>
      <t xml:space="preserve">: O Módulo 1 refere-se ao </t>
    </r>
    <r>
      <rPr>
        <b/>
        <sz val="10"/>
        <rFont val="Arial"/>
        <family val="2"/>
      </rPr>
      <t>valor mensal devido ao empregado</t>
    </r>
    <r>
      <rPr>
        <sz val="10"/>
        <rFont val="Arial"/>
        <family val="2"/>
      </rPr>
      <t xml:space="preserve"> pela prestação do serviço no período de </t>
    </r>
  </si>
  <si>
    <t>12 meses.</t>
  </si>
  <si>
    <t>MÓDULO 2 – ENCARGOS E BENEFÍCIOS ANUAIS, MENSAIS E DIÁRIOS</t>
  </si>
  <si>
    <t>2.1</t>
  </si>
  <si>
    <t>Submódulo 2.1 - 13º(décimo terceiro), Salário, Férias e Adicional de Férias</t>
  </si>
  <si>
    <r>
      <t>13º (Décimo-terceiro) salário</t>
    </r>
    <r>
      <rPr>
        <sz val="10"/>
        <color indexed="10"/>
        <rFont val="Arial"/>
        <family val="2"/>
      </rPr>
      <t xml:space="preserve"> </t>
    </r>
    <r>
      <rPr>
        <i/>
        <sz val="8"/>
        <color rgb="FFFF0000"/>
        <rFont val="Arial"/>
        <family val="2"/>
      </rPr>
      <t>(1/12)</t>
    </r>
  </si>
  <si>
    <r>
      <t xml:space="preserve">Férias e Adicional de Férias </t>
    </r>
    <r>
      <rPr>
        <i/>
        <sz val="8"/>
        <color rgb="FFFF0000"/>
        <rFont val="Arial"/>
        <family val="2"/>
      </rPr>
      <t>(item 14, Anexo XIII, IN 5/2017-Conta Vinculada)</t>
    </r>
  </si>
  <si>
    <t>SUBTOTAL SUBMÓDULO 2.1</t>
  </si>
  <si>
    <t>Incidência do Submódulo 2.2 sobre 13º Salário, Férias e Adicional de Férias</t>
  </si>
  <si>
    <t>TOTAL SUBMÓDULO 2.1</t>
  </si>
  <si>
    <r>
      <rPr>
        <b/>
        <sz val="10"/>
        <rFont val="Arial"/>
        <family val="2"/>
      </rPr>
      <t>Nota 1</t>
    </r>
    <r>
      <rPr>
        <sz val="10"/>
        <rFont val="Arial"/>
        <family val="2"/>
      </rPr>
      <t xml:space="preserve">: Como a planilha de custos e formação de preços é calculada </t>
    </r>
    <r>
      <rPr>
        <u/>
        <sz val="10"/>
        <rFont val="Arial"/>
        <family val="2"/>
      </rPr>
      <t>mensalmente</t>
    </r>
    <r>
      <rPr>
        <sz val="10"/>
        <rFont val="Arial"/>
        <family val="2"/>
      </rPr>
      <t>, provisiona-se proporcionalmente</t>
    </r>
  </si>
  <si>
    <t>1/12 (um doze avos) dos valores referentes a gratificação natalina, férias e adicional de férias.</t>
  </si>
  <si>
    <r>
      <rPr>
        <b/>
        <sz val="10"/>
        <rFont val="Arial"/>
        <family val="2"/>
      </rPr>
      <t>Nota 2</t>
    </r>
    <r>
      <rPr>
        <sz val="10"/>
        <rFont val="Arial"/>
        <family val="2"/>
      </rPr>
      <t>: O adicional  de  férias  contido  no  Submódulo  2.1  corresponde  a  1/3  (um  terço)  da remuneração</t>
    </r>
  </si>
  <si>
    <t>que por sua vez é divido por 12 (doze) conforme Nota 1 acima.</t>
  </si>
  <si>
    <r>
      <rPr>
        <b/>
        <sz val="10"/>
        <rFont val="Arial"/>
        <family val="2"/>
      </rPr>
      <t>Nota 3</t>
    </r>
    <r>
      <rPr>
        <sz val="10"/>
        <rFont val="Arial"/>
        <family val="2"/>
      </rPr>
      <t>: o custo de substituição do empregado, em suas férias, pelo substituto já está embutido no cálculo da conta vinculada em 12,10%</t>
    </r>
  </si>
  <si>
    <t>2.2</t>
  </si>
  <si>
    <t>Submódulo 2.2 - GPS, FGTS e Outras Contribuições</t>
  </si>
  <si>
    <r>
      <t xml:space="preserve">INSS </t>
    </r>
    <r>
      <rPr>
        <sz val="10"/>
        <color rgb="FFFF0000"/>
        <rFont val="Arial"/>
        <family val="2"/>
      </rPr>
      <t>(Módulo1)*Alíquota</t>
    </r>
  </si>
  <si>
    <r>
      <t xml:space="preserve">Salário Educação </t>
    </r>
    <r>
      <rPr>
        <sz val="10"/>
        <color rgb="FFFF0000"/>
        <rFont val="Arial"/>
        <family val="2"/>
      </rPr>
      <t>(Módulo1)*Alíquota</t>
    </r>
  </si>
  <si>
    <r>
      <t xml:space="preserve">SAT (Seguro Acidente de Trabalho) </t>
    </r>
    <r>
      <rPr>
        <sz val="10"/>
        <color rgb="FFFF0000"/>
        <rFont val="Arial"/>
        <family val="2"/>
      </rPr>
      <t>(Módulo1)*Alíquota</t>
    </r>
  </si>
  <si>
    <t>mera estimativa, percentual depende de comprovação do SAT/RAP pelo licitante</t>
  </si>
  <si>
    <r>
      <t xml:space="preserve">SESC ou SESI </t>
    </r>
    <r>
      <rPr>
        <sz val="10"/>
        <color rgb="FFFF0000"/>
        <rFont val="Arial"/>
        <family val="2"/>
      </rPr>
      <t>(Módulo1)*Alíquota</t>
    </r>
  </si>
  <si>
    <r>
      <t xml:space="preserve">SENAI - SENAC </t>
    </r>
    <r>
      <rPr>
        <sz val="10"/>
        <color rgb="FFFF0000"/>
        <rFont val="Arial"/>
        <family val="2"/>
      </rPr>
      <t>(Módulo1)*Alíquota</t>
    </r>
  </si>
  <si>
    <r>
      <t xml:space="preserve">SEBRAE </t>
    </r>
    <r>
      <rPr>
        <sz val="10"/>
        <color rgb="FFFF0000"/>
        <rFont val="Arial"/>
        <family val="2"/>
      </rPr>
      <t>(Módulo1)*Alíquota</t>
    </r>
  </si>
  <si>
    <t>G</t>
  </si>
  <si>
    <r>
      <t xml:space="preserve">INCRA </t>
    </r>
    <r>
      <rPr>
        <sz val="10"/>
        <color rgb="FFFF0000"/>
        <rFont val="Arial"/>
        <family val="2"/>
      </rPr>
      <t>(Módulo1)*Alíquota</t>
    </r>
  </si>
  <si>
    <t>H</t>
  </si>
  <si>
    <r>
      <t xml:space="preserve">FGTS </t>
    </r>
    <r>
      <rPr>
        <sz val="10"/>
        <color rgb="FFFF0000"/>
        <rFont val="Arial"/>
        <family val="2"/>
      </rPr>
      <t>(Módulo1)*Alíquota</t>
    </r>
  </si>
  <si>
    <r>
      <rPr>
        <b/>
        <sz val="10"/>
        <rFont val="Arial"/>
        <family val="2"/>
      </rPr>
      <t>Nota 1</t>
    </r>
    <r>
      <rPr>
        <sz val="10"/>
        <rFont val="Arial"/>
        <family val="2"/>
      </rPr>
      <t>: Os  percentuais  dos  encargos  previdenciários,  do FGTS e  demais  contribuições  são aqueles</t>
    </r>
  </si>
  <si>
    <t>estabelecidos pela legislação vigente.</t>
  </si>
  <si>
    <r>
      <rPr>
        <b/>
        <sz val="10"/>
        <rFont val="Arial"/>
        <family val="2"/>
      </rPr>
      <t>Nota 2</t>
    </r>
    <r>
      <rPr>
        <sz val="10"/>
        <rFont val="Arial"/>
        <family val="2"/>
      </rPr>
      <t>: O SAT a depender do grau de risco do serviço irá variar entre 1%, para risco leve, de 2%, para risco</t>
    </r>
  </si>
  <si>
    <t>médio, e de 3% de risco grave.</t>
  </si>
  <si>
    <r>
      <rPr>
        <b/>
        <sz val="10"/>
        <rFont val="Arial"/>
        <family val="2"/>
      </rPr>
      <t>Nota 3</t>
    </r>
    <r>
      <rPr>
        <sz val="10"/>
        <rFont val="Arial"/>
        <family val="2"/>
      </rPr>
      <t>: Esses percentuais incidem sobre o Módulo 1 e o Submódulo 2.1</t>
    </r>
  </si>
  <si>
    <t>2.3</t>
  </si>
  <si>
    <t>Submódulo 2.3 - Benefícios Mensais e Diários</t>
  </si>
  <si>
    <r>
      <t xml:space="preserve">Transporte </t>
    </r>
    <r>
      <rPr>
        <i/>
        <sz val="8"/>
        <color rgb="FFFF0000"/>
        <rFont val="Arial"/>
        <family val="2"/>
      </rPr>
      <t>(ver Decreto Municipal e preencher campos em amarelo na aba Mód 2.3)</t>
    </r>
  </si>
  <si>
    <t>-</t>
  </si>
  <si>
    <r>
      <t xml:space="preserve">Auxílio-Refeição/Alimentação </t>
    </r>
    <r>
      <rPr>
        <i/>
        <sz val="8"/>
        <color rgb="FFFF0000"/>
        <rFont val="Arial"/>
        <family val="2"/>
      </rPr>
      <t>(ver CCT e preencher campos em amarelo na aba Mód 2.3)</t>
    </r>
  </si>
  <si>
    <r>
      <t xml:space="preserve">Adicional de assiduidade </t>
    </r>
    <r>
      <rPr>
        <i/>
        <sz val="8"/>
        <color rgb="FFFF0000"/>
        <rFont val="Arial"/>
        <family val="2"/>
      </rPr>
      <t>(ver CCT e preencher campos em amarelo na aba Mód 2.3)</t>
    </r>
  </si>
  <si>
    <r>
      <rPr>
        <i/>
        <sz val="10"/>
        <color rgb="FF000000"/>
        <rFont val="Arial"/>
        <family val="2"/>
      </rPr>
      <t>Aux. Saúde e Odontológico</t>
    </r>
    <r>
      <rPr>
        <i/>
        <sz val="10"/>
        <color rgb="FFFF0000"/>
        <rFont val="Arial"/>
        <family val="2"/>
      </rPr>
      <t xml:space="preserve"> </t>
    </r>
    <r>
      <rPr>
        <i/>
        <sz val="8"/>
        <color rgb="FFFF0000"/>
        <rFont val="Arial"/>
        <family val="2"/>
      </rPr>
      <t>(ver CCT e preencher campos em amarelo na aba Mód 2.3)</t>
    </r>
  </si>
  <si>
    <r>
      <t xml:space="preserve">BENEFÍCIO DE ASSISTÊNCIA AO TRABALHADOR (SAÚDE E QUALIFICAÇÃO PROFISSIONAL) </t>
    </r>
    <r>
      <rPr>
        <i/>
        <sz val="8"/>
        <color rgb="FFFF0000"/>
        <rFont val="Arial"/>
        <family val="2"/>
      </rPr>
      <t>(ver CCT e preencher campos em amarelo na aba Mód 2.3)</t>
    </r>
  </si>
  <si>
    <r>
      <t xml:space="preserve">Outros (Seguro de vida) </t>
    </r>
    <r>
      <rPr>
        <i/>
        <sz val="8"/>
        <color rgb="FFFF0000"/>
        <rFont val="Arial"/>
        <family val="2"/>
      </rPr>
      <t>(ver CCT e preencher campos em amarelo na aba Mód 2.3)</t>
    </r>
  </si>
  <si>
    <r>
      <t>Outros (Auxílio Creche)</t>
    </r>
    <r>
      <rPr>
        <i/>
        <sz val="10"/>
        <color rgb="FFFF0000"/>
        <rFont val="Arial"/>
        <family val="2"/>
      </rPr>
      <t xml:space="preserve"> </t>
    </r>
    <r>
      <rPr>
        <i/>
        <sz val="8"/>
        <color rgb="FFFF0000"/>
        <rFont val="Arial"/>
        <family val="2"/>
      </rPr>
      <t>(ver CCT e preencher campos em amarelo na aba Mód 2.3)</t>
    </r>
  </si>
  <si>
    <t>TOTAL SUBMÓDULO 2.3</t>
  </si>
  <si>
    <r>
      <rPr>
        <b/>
        <sz val="10"/>
        <rFont val="Arial"/>
        <family val="2"/>
      </rPr>
      <t>Nota 1</t>
    </r>
    <r>
      <rPr>
        <sz val="10"/>
        <rFont val="Arial"/>
        <family val="2"/>
      </rPr>
      <t xml:space="preserve">: O valor informado deverá ser o custo real do benefício
(descontado o valor eventualmente pago pelo </t>
    </r>
  </si>
  <si>
    <t>empregado)</t>
  </si>
  <si>
    <r>
      <rPr>
        <b/>
        <sz val="10"/>
        <rFont val="Arial"/>
        <family val="2"/>
      </rPr>
      <t>Nota 2</t>
    </r>
    <r>
      <rPr>
        <sz val="10"/>
        <rFont val="Arial"/>
        <family val="2"/>
      </rPr>
      <t>: Observar  a  previsão  dos  benefícios contidos  em  Acordos, Convenções e  Dissídios Coletivos</t>
    </r>
  </si>
  <si>
    <t>de Trabalho e atentar-se ao disposto no art. 6º da Instrução Normativa SEGES/MP n° 5, de 2017.</t>
  </si>
  <si>
    <t>QUADRO-RESUMO DO MÓDULO 2 - ENCARGOS e BENEFÍCIOS ANUAIS, MENSAIS E DIÁRIOS</t>
  </si>
  <si>
    <t>Módulo 2 - Encargos, Benefícios Anuais, Mensais e Diários</t>
  </si>
  <si>
    <t>13° (décimo terceiro) Salário, Férias e Adicional de Férias</t>
  </si>
  <si>
    <t>GPS, FGTS e Outras contribuições</t>
  </si>
  <si>
    <t>Benefícios Mensais e Diários</t>
  </si>
  <si>
    <t>TOTAL DO MÓDULO 2</t>
  </si>
  <si>
    <t>MÓDULO 3 – PROVISÃO PARA RESCISÃO</t>
  </si>
  <si>
    <t>PROVISÃO PARA RESCISÃO</t>
  </si>
  <si>
    <r>
      <t xml:space="preserve">Aviso Prévio Indenizado </t>
    </r>
    <r>
      <rPr>
        <i/>
        <sz val="8"/>
        <color rgb="FFFF0000"/>
        <rFont val="Arial"/>
        <family val="2"/>
      </rPr>
      <t>[0,05x(1/12)]x100</t>
    </r>
  </si>
  <si>
    <t xml:space="preserve">Incidência do FGTS sobre Aviso Prévio Indenizado </t>
  </si>
  <si>
    <r>
      <t xml:space="preserve">Multa do FGTS e contribuição social sobre o Aviso Prévio Indenizado </t>
    </r>
    <r>
      <rPr>
        <i/>
        <sz val="8"/>
        <color rgb="FFFF0000"/>
        <rFont val="Arial"/>
        <family val="2"/>
      </rPr>
      <t>(item 14, Anexo XIII, IN 5/2017-Conta Vinculada, onde somatório da multa do API + APT = 4,00%)</t>
    </r>
  </si>
  <si>
    <r>
      <t xml:space="preserve">Aviso Prévio Trabalhado </t>
    </r>
    <r>
      <rPr>
        <i/>
        <sz val="8"/>
        <color rgb="FFFF0000"/>
        <rFont val="Arial"/>
        <family val="2"/>
      </rPr>
      <t>(Acórdão TCU Plenário nº. 1186/2017)</t>
    </r>
  </si>
  <si>
    <t>Incidência de GPS, FGTS e outras contribuições sobre o Aviso Prévio Trabalhado</t>
  </si>
  <si>
    <r>
      <t xml:space="preserve">Multa do FGTS e contribuição social sobre o Aviso Prévio Trabalhado </t>
    </r>
    <r>
      <rPr>
        <i/>
        <sz val="8"/>
        <color rgb="FFFF0000"/>
        <rFont val="Arial"/>
        <family val="2"/>
      </rPr>
      <t>((item 14, Anexo XIII, IN 5/2017-Conta Vinculada, onde somatório da multa do API + APT = 4,00%)</t>
    </r>
  </si>
  <si>
    <t>TOTAL DO MÓDULO 3</t>
  </si>
  <si>
    <t>MÓDULO 4 – CUSTO DE REPOSIÇÃO DO PROFISSIONAL AUSENTE</t>
  </si>
  <si>
    <r>
      <rPr>
        <b/>
        <sz val="10"/>
        <rFont val="Arial"/>
        <family val="2"/>
      </rPr>
      <t>Nota 1</t>
    </r>
    <r>
      <rPr>
        <sz val="10"/>
        <rFont val="Arial"/>
        <family val="2"/>
      </rPr>
      <t>: Os  itens  que  contemplam  o  módulo  4  se  referem  ao  custo  dos  dias  trabalhados  pelo repositor/substituto,</t>
    </r>
  </si>
  <si>
    <t>quando o empregado alocado na prestação de serviço estiver ausente, conforme as previsões estabelecidas na legislação.</t>
  </si>
  <si>
    <t>4.1</t>
  </si>
  <si>
    <t>Submódulo 4.1 - Substituto nas Ausências Legais</t>
  </si>
  <si>
    <r>
      <t xml:space="preserve">Substituto na cobertura de Férias </t>
    </r>
    <r>
      <rPr>
        <sz val="10"/>
        <color rgb="FFFF0000"/>
        <rFont val="Arial"/>
        <family val="2"/>
      </rPr>
      <t>inaplicável, conforme memorial de cálculo</t>
    </r>
  </si>
  <si>
    <r>
      <t xml:space="preserve">Substituto na cobertura de Ausências Legais </t>
    </r>
    <r>
      <rPr>
        <i/>
        <sz val="8"/>
        <color rgb="FFFF0000"/>
        <rFont val="Arial"/>
        <family val="2"/>
      </rPr>
      <t>(6/30/12)x100</t>
    </r>
  </si>
  <si>
    <t>mera estimativa, com memorial de cálculo a critério do licitante.</t>
  </si>
  <si>
    <r>
      <t xml:space="preserve">Substituto na cobertura de Licença Paternidade </t>
    </r>
    <r>
      <rPr>
        <i/>
        <sz val="8"/>
        <color rgb="FFFF0000"/>
        <rFont val="Arial"/>
        <family val="2"/>
      </rPr>
      <t>(5/30/12)x0,015x100</t>
    </r>
  </si>
  <si>
    <r>
      <t xml:space="preserve">Substituto na cobertura de Ausência por Acidente de Trabalho </t>
    </r>
    <r>
      <rPr>
        <i/>
        <sz val="8"/>
        <color rgb="FFFF0000"/>
        <rFont val="Arial"/>
        <family val="2"/>
      </rPr>
      <t>(1/12)x0,0178x100</t>
    </r>
  </si>
  <si>
    <r>
      <t xml:space="preserve">Substituto na cobertura de Afastamento Maternidade </t>
    </r>
    <r>
      <rPr>
        <i/>
        <sz val="8"/>
        <color rgb="FFFF0000"/>
        <rFont val="Arial"/>
        <family val="2"/>
      </rPr>
      <t>(11,11%x5,28%x50%)</t>
    </r>
  </si>
  <si>
    <t>Substituto na cobertura de Outras ausências (especificar)</t>
  </si>
  <si>
    <t>SUBTOTAL SUBMÓDULO 4.1</t>
  </si>
  <si>
    <t>Incidência do Submódulo 2.2 sobre as Ausências Legais</t>
  </si>
  <si>
    <t>TOTAL SUBMÓDULO 4.1</t>
  </si>
  <si>
    <t>4.2</t>
  </si>
  <si>
    <t>Submódulo 4.2 - Substituto na Intrajornada</t>
  </si>
  <si>
    <t>Substituto na cobertura de Intervalo para repouso ou alimentação</t>
  </si>
  <si>
    <t>TOTAL SUBMÓDULO 4.2</t>
  </si>
  <si>
    <t>QUADRO-RESUMO DO MÓDULO 4 - CUSTO DE REPOSIÇÃO DO PROFISSIONAL AUSENTE</t>
  </si>
  <si>
    <t>Módulo 4 - Custo de Reposição do Profissional Ausente</t>
  </si>
  <si>
    <t>Substituto nas Ausências Legais</t>
  </si>
  <si>
    <t>Substituto na Intrajornada</t>
  </si>
  <si>
    <t>TOTAL DO MÓDULO 4</t>
  </si>
  <si>
    <t>MÓDULO 5 – INSUMOS DIVERSOS</t>
  </si>
  <si>
    <t>INSUMOS DIVERSOS</t>
  </si>
  <si>
    <t>Uniformes e EPI's</t>
  </si>
  <si>
    <t>Materiais e Utensílios de consumo</t>
  </si>
  <si>
    <t>Equipamentos, Ferramentas e Acessórios</t>
  </si>
  <si>
    <t>TOTAL DO MÓDULO 5</t>
  </si>
  <si>
    <r>
      <rPr>
        <b/>
        <sz val="10"/>
        <rFont val="Arial"/>
        <family val="2"/>
      </rPr>
      <t>Nota</t>
    </r>
    <r>
      <rPr>
        <sz val="10"/>
        <rFont val="Arial"/>
        <family val="2"/>
      </rPr>
      <t>: Valores mensais por empregado.</t>
    </r>
  </si>
  <si>
    <t>MÓDULO 6 – CUSTOS INDIRETOS, TRIBUTOS E LUCRO</t>
  </si>
  <si>
    <t>CUSTOS INDIRETOS, TRIBUTOS E LUCRO</t>
  </si>
  <si>
    <r>
      <t xml:space="preserve">Custos Indiretos </t>
    </r>
    <r>
      <rPr>
        <i/>
        <sz val="10"/>
        <color rgb="FFFF0000"/>
        <rFont val="Arial"/>
        <family val="2"/>
      </rPr>
      <t>(somatório dos módulos 1,2,3,4 e 5)*alíquota%</t>
    </r>
  </si>
  <si>
    <t>mera estimativa, com percentual a critério do licitante</t>
  </si>
  <si>
    <r>
      <t xml:space="preserve">Lucro </t>
    </r>
    <r>
      <rPr>
        <i/>
        <sz val="10"/>
        <color rgb="FFFF0000"/>
        <rFont val="Arial"/>
        <family val="2"/>
      </rPr>
      <t>(somatório dos módulos 1,2,3,4, 5 + CI)*alíquota%</t>
    </r>
  </si>
  <si>
    <t>TRIBUTOS</t>
  </si>
  <si>
    <t>C.1</t>
  </si>
  <si>
    <r>
      <t>PIS</t>
    </r>
    <r>
      <rPr>
        <sz val="10"/>
        <color rgb="FFFF0000"/>
        <rFont val="Arial"/>
        <family val="2"/>
      </rPr>
      <t xml:space="preserve"> </t>
    </r>
    <r>
      <rPr>
        <i/>
        <sz val="9"/>
        <color rgb="FFFF0000"/>
        <rFont val="Arial"/>
        <family val="2"/>
      </rPr>
      <t>(somatório dos módulos 1,2,3,4,5 + CI + Lucro) / (1-%tributos)*alíquota%</t>
    </r>
  </si>
  <si>
    <t>a depender do enquadramento fiscal do licitante</t>
  </si>
  <si>
    <t>C.2</t>
  </si>
  <si>
    <r>
      <t xml:space="preserve">COFINS </t>
    </r>
    <r>
      <rPr>
        <i/>
        <sz val="9"/>
        <color rgb="FFFF0000"/>
        <rFont val="Arial"/>
        <family val="2"/>
      </rPr>
      <t>(somatório dos módulos 1,2,3,4,5 + CI + Lucro) / (1-%tributos)*alíquota%</t>
    </r>
  </si>
  <si>
    <t>C.3</t>
  </si>
  <si>
    <r>
      <t xml:space="preserve">ISS </t>
    </r>
    <r>
      <rPr>
        <i/>
        <sz val="9"/>
        <color rgb="FFFF0000"/>
        <rFont val="Arial"/>
        <family val="2"/>
      </rPr>
      <t>(somatório dos módulos 1,2,3,4,5 + CI + Lucro) / (1-%tributos)*alíquota%</t>
    </r>
  </si>
  <si>
    <t>TOTAL DO MÓDULO 6</t>
  </si>
  <si>
    <r>
      <rPr>
        <b/>
        <sz val="10"/>
        <rFont val="Arial"/>
        <family val="2"/>
      </rPr>
      <t>Nota 1</t>
    </r>
    <r>
      <rPr>
        <sz val="10"/>
        <rFont val="Arial"/>
        <family val="2"/>
      </rPr>
      <t>: Custos Indiretos, Tributos e Lucro por empregado.</t>
    </r>
  </si>
  <si>
    <r>
      <rPr>
        <b/>
        <sz val="10"/>
        <rFont val="Arial"/>
        <family val="2"/>
      </rPr>
      <t>Nota 2</t>
    </r>
    <r>
      <rPr>
        <sz val="10"/>
        <rFont val="Arial"/>
        <family val="2"/>
      </rPr>
      <t>: O valor referente a tributos é obtido aplicando-se o percentual sobre o valor do faturamento.</t>
    </r>
  </si>
  <si>
    <t>QUADRO RESUMO DO CUSTO POR EMPREGADO</t>
  </si>
  <si>
    <t>Mão-de-Obra vinculada à execução contratual (valor por empregado)</t>
  </si>
  <si>
    <t>Subtotal (A + B + C + D + E)</t>
  </si>
  <si>
    <t>VALOR TOTAL POR EMPREGADO</t>
  </si>
  <si>
    <t>Custo mensal</t>
  </si>
  <si>
    <t>Encarregado</t>
  </si>
  <si>
    <t>PREÇO MENSAL UNITÁRIO POR M² (metro quadrado)</t>
  </si>
  <si>
    <r>
      <rPr>
        <b/>
        <sz val="10"/>
        <color rgb="FF0000FF"/>
        <rFont val="Arial"/>
        <family val="2"/>
      </rPr>
      <t>ÁREA INTERNA</t>
    </r>
    <r>
      <rPr>
        <sz val="10"/>
        <rFont val="Arial"/>
        <family val="2"/>
      </rPr>
      <t xml:space="preserve"> - (Fórmulas exemplificativas de cálculo para área interna - alíneas “a” e “b” do subitem 3.1. do Anexo VI-B; para as demais alíneas, deverão ser incluídos novos campos na planilha com a metragem adequada).</t>
    </r>
  </si>
  <si>
    <t>MÃO DE OBRA</t>
  </si>
  <si>
    <t>(1)
PRODUTIVIDADE
(m²/dia)</t>
  </si>
  <si>
    <t>Equipe de limpeza</t>
  </si>
  <si>
    <t>Limpeza/dia</t>
  </si>
  <si>
    <t>Custo Mensal
(R$)</t>
  </si>
  <si>
    <t>(1x2)
SUBTOTAL
(R$/m²)</t>
  </si>
  <si>
    <t>Servente, limpador de vidors e encarregado</t>
  </si>
  <si>
    <t>TOTAL</t>
  </si>
  <si>
    <r>
      <rPr>
        <b/>
        <sz val="10"/>
        <rFont val="Arial"/>
        <family val="2"/>
      </rPr>
      <t>*</t>
    </r>
    <r>
      <rPr>
        <sz val="10"/>
        <rFont val="Arial"/>
        <family val="2"/>
      </rPr>
      <t xml:space="preserve"> produtividade de referência do trabalhador prevista no subitem 3.1, IN SEGES/MP nº 5, de 2017.</t>
    </r>
  </si>
  <si>
    <r>
      <rPr>
        <b/>
        <sz val="10"/>
        <color rgb="FF0000FF"/>
        <rFont val="Arial"/>
        <family val="2"/>
      </rPr>
      <t>ÁREA EXTERNA</t>
    </r>
    <r>
      <rPr>
        <sz val="10"/>
        <rFont val="Arial"/>
        <family val="2"/>
      </rPr>
      <t xml:space="preserve"> - (Fórmulas exemplificativas de cálculo para área externa - alíneas “a”, “c”, “d” e “e” do subitem 3.2. do Anexo VI-B; para as demais alíneas, deverão ser incluídos novos campos na planilha com a metragem adequada).</t>
    </r>
  </si>
  <si>
    <t>(1)
PRODUTIVIDADE
(1/m²)</t>
  </si>
  <si>
    <t>(2)
PREÇO HOMEM-MÊS
(R$)</t>
  </si>
  <si>
    <t>__1__
1800*</t>
  </si>
  <si>
    <r>
      <rPr>
        <b/>
        <sz val="10"/>
        <rFont val="Arial"/>
        <family val="2"/>
      </rPr>
      <t>*</t>
    </r>
    <r>
      <rPr>
        <sz val="10"/>
        <rFont val="Arial"/>
        <family val="2"/>
      </rPr>
      <t xml:space="preserve"> produtividade de referência do trabalhador prevista no subitem 3.2, IN SEGES/MP nº 5, de 2017.</t>
    </r>
  </si>
  <si>
    <r>
      <rPr>
        <b/>
        <sz val="10"/>
        <color rgb="FF0000FF"/>
        <rFont val="Arial"/>
        <family val="2"/>
      </rPr>
      <t>ESQUADRIA EXTERNA</t>
    </r>
    <r>
      <rPr>
        <sz val="10"/>
        <rFont val="Arial"/>
        <family val="2"/>
      </rPr>
      <t xml:space="preserve"> (Fórmulas exemplificativas de cálculo para área externa - alíneas “b” e “c” do subitem 3.3. do Anexo VI-B; para as demais alíneas, deverão ser incluídos novos campos na planilha com a metragem adequada).</t>
    </r>
  </si>
  <si>
    <t>__1__
300*</t>
  </si>
  <si>
    <r>
      <rPr>
        <b/>
        <sz val="10"/>
        <rFont val="Arial"/>
        <family val="2"/>
      </rPr>
      <t>*</t>
    </r>
    <r>
      <rPr>
        <sz val="10"/>
        <rFont val="Arial"/>
        <family val="2"/>
      </rPr>
      <t xml:space="preserve"> produtividade de referência do trabalhador prevista no subitem 3.3, IN SEGES/MP nº 5, de 2017.</t>
    </r>
  </si>
  <si>
    <t>FACHADA ENVIDRAÇADA - FACE EXTERNA</t>
  </si>
  <si>
    <t>__1__
130*</t>
  </si>
  <si>
    <r>
      <rPr>
        <b/>
        <sz val="10"/>
        <rFont val="Arial"/>
        <family val="2"/>
      </rPr>
      <t>*</t>
    </r>
    <r>
      <rPr>
        <sz val="10"/>
        <rFont val="Arial"/>
        <family val="2"/>
      </rPr>
      <t xml:space="preserve"> produtividade de referência do trabalhador prevista no subitem 3.4, IN SEGES/MP nº 5, de 2017.</t>
    </r>
  </si>
  <si>
    <t>* Caso as produtividades mínimas adotadas sejam diferentes, estes valores das planilhas, bem como os coeficientes deles decorrentes (Ki e Ke), deverão ser adequados à nova situação.</t>
  </si>
  <si>
    <t>** Caso a relação entre serventes e encarregados seja diferente, os valores das planilhas, bem como os coeficientes deles decorrentes (Ki e Ke), deverão ser adequados à nova situação.</t>
  </si>
  <si>
    <t>*** Frequência sugerida em horas por mês. Caso a frequência adotada, em horas, por mês ou semestre, seja diferente, os valores, bem como os coeficientes deles decorrentes (Ki e Ke), deverão ser adequados à nova situação.</t>
  </si>
  <si>
    <t>DF000012/2024_x000D_</t>
  </si>
  <si>
    <t>Materias e equipamentos já inclusos no custos de limpeza</t>
  </si>
  <si>
    <t>PREÇO UNITÁRIO</t>
  </si>
  <si>
    <t xml:space="preserve">
PRODUTIVIDADE m²/dia
</t>
  </si>
  <si>
    <t>Servente/Dedetização</t>
  </si>
  <si>
    <t>Remanejamento de equipamento / mobiliário (sob  demanda)</t>
  </si>
  <si>
    <t>Outros serviços</t>
  </si>
  <si>
    <t xml:space="preserve"> DF000042/2025</t>
  </si>
  <si>
    <t>Jardineiro</t>
  </si>
  <si>
    <t>Vale Transporte - Aux. de Limpeza</t>
  </si>
  <si>
    <t>Vale Transporte - Encarrregado de Limpeza</t>
  </si>
  <si>
    <t>Vale Transporte - Jardineiro</t>
  </si>
  <si>
    <t>Valor Unitário da Passagem</t>
  </si>
  <si>
    <t>Nº Vales por Dia</t>
  </si>
  <si>
    <t>Dias Efetivamente Trabalhados</t>
  </si>
  <si>
    <t>Percentual Desconto (22 dias=6% | 15 dias=3%)</t>
  </si>
  <si>
    <t>-Custo do Transporte</t>
  </si>
  <si>
    <t>-Desconto Funcionário</t>
  </si>
  <si>
    <t>Custo Efetivo do Vale Transporte</t>
  </si>
  <si>
    <t>Auxílio-Refeição/Alimentação</t>
  </si>
  <si>
    <t>Valor do Vale Alimentação</t>
  </si>
  <si>
    <t>Percentual/Valor Desconto PAT/Cota-Parte Funcionário</t>
  </si>
  <si>
    <t>-Custo do Vale Alimentação</t>
  </si>
  <si>
    <t>Cesta básica</t>
  </si>
  <si>
    <t>Custo Efetivo do Auxílio-Refeição/Alimentação</t>
  </si>
  <si>
    <t>Prêmio Assiduidade</t>
  </si>
  <si>
    <t>Adicional de assiduidade</t>
  </si>
  <si>
    <t>Percentual/Valor Desconto/Cota-Parte Funcionário</t>
  </si>
  <si>
    <t>Custo Efetivo</t>
  </si>
  <si>
    <t>Aux. Odontológico</t>
  </si>
  <si>
    <t>Custo Efetivo da Assistência Familiar</t>
  </si>
  <si>
    <t>Quando o Acordo Coletivo for silente com relação ao valor do seguro, será obtido o</t>
  </si>
  <si>
    <t>Seguro de Vida</t>
  </si>
  <si>
    <t>valor por meio da soma das indenizações previstas no Acordo Coletivo e multiplicado pela</t>
  </si>
  <si>
    <t>alíquota (0,0078%). Essa alíquota representa uma média de acordo com os estudos da FIA .</t>
  </si>
  <si>
    <t>Valor do Premio Morte 26xRem</t>
  </si>
  <si>
    <t>Valor do Premio Invalidez 52xRem</t>
  </si>
  <si>
    <t>Alíquota do Seguro (Incidência)</t>
  </si>
  <si>
    <t>Nº Empregados cobertos</t>
  </si>
  <si>
    <t>Custo Anual</t>
  </si>
  <si>
    <t>Custo Efetivo Mensal</t>
  </si>
  <si>
    <t>Benefício</t>
  </si>
  <si>
    <t>Incidência</t>
  </si>
  <si>
    <t>Meses de pagamento</t>
  </si>
  <si>
    <t>Dados estatísticos do Cadastro Geral de Empregados e Desempregados (CAGED/MTE), da Relação Anual de Informações Sociais (RAIS/MTE), da Pesquisa Nacional por Amostra de Domicílios (PNAD/IBGE), do Registro Civil (IBGE) e, ainda, estatísticas sobre saúde e segurança do trabalhador disponibilizadas pelo INSS.</t>
  </si>
  <si>
    <t xml:space="preserve">                Declaro que foi realizada pesquisa mercadológica conforme dados abaixo:</t>
  </si>
  <si>
    <t>Casas Bahia</t>
  </si>
  <si>
    <t>Contato</t>
  </si>
  <si>
    <t>Fone</t>
  </si>
  <si>
    <t>Loja do Guarda pó</t>
  </si>
  <si>
    <t>48 3247 4959</t>
  </si>
  <si>
    <t>Amazon</t>
  </si>
  <si>
    <t>Mercado Livre</t>
  </si>
  <si>
    <t>Item</t>
  </si>
  <si>
    <t>Fardamento e seus complementos</t>
  </si>
  <si>
    <t>Unid.</t>
  </si>
  <si>
    <t>Quant.</t>
  </si>
  <si>
    <t>Órgãos/Licitações/Contratos/Fornecedores/Sites consultados</t>
  </si>
  <si>
    <t>Custo estimado</t>
  </si>
  <si>
    <t>Custo médio Unit.</t>
  </si>
  <si>
    <t>Custo médio Total</t>
  </si>
  <si>
    <t>Valor Unit</t>
  </si>
  <si>
    <t>Camisas unissex sem gola, malha confeccionada com 67% poliéster e 33% viscose,  manga curta,   e logomarca da empresa;</t>
  </si>
  <si>
    <t>Pç</t>
  </si>
  <si>
    <t>Camisas unissex,  malha confeccionada com 67% poliéster e 33% viscose, manga longa  e logomarca da empresa;</t>
  </si>
  <si>
    <t>Calças compridas de Brim tactel unissex na cor azul escuro, com 2 bolsos dianteiros</t>
  </si>
  <si>
    <t>Par</t>
  </si>
  <si>
    <t>Meias cano curto, preferencialmente na cor preta, 100% algodão, adequadas à prestação dos serviços.</t>
  </si>
  <si>
    <t>Crachá de identificação</t>
  </si>
  <si>
    <t>Calçado de couro, tipo bota cano curto, preferencialmente na cor preta;</t>
  </si>
  <si>
    <t>Óculos de proteção</t>
  </si>
  <si>
    <t>Bota de borracha/PVC cano longo</t>
  </si>
  <si>
    <t>Custo anual do uniforme, por empregado.</t>
  </si>
  <si>
    <r>
      <t xml:space="preserve">Custo Efetivo mensal do uniforme e seus complementos por empregado </t>
    </r>
    <r>
      <rPr>
        <b/>
        <i/>
        <sz val="10"/>
        <rFont val="Arial"/>
        <family val="2"/>
      </rPr>
      <t>(custo anual / 12 meses )</t>
    </r>
  </si>
  <si>
    <t>CUSTO MÉDIO ESTIMADO MENSAL COM UNIFORME E SEUS COMPLEMENTOS</t>
  </si>
  <si>
    <t>Observação, Assinatura e Carimbo</t>
  </si>
  <si>
    <t>OBS.: Quando do início da execução do contrato deverá ser fornecido 02 (dois) conjuntos completos de uniforme, devendo ser substituído 01 (uma) peça de cada item a cada 06 (seis) meses, exceto o calçado/coturno que será a cada 12(doze) meses.
Os custos referentes aos EPI's deverão ser revistos quando da repactuação do contrato, retirando aqueles já foram integralmente pagos no primeiro ano da contratação.</t>
  </si>
  <si>
    <t>A Administração não se vincula às disposições contidas em Acordos e Convenções Coletivas que não tratem de matéria trabalhista, tais como as que estabeleçam valores ou índices obrigatórios de encargos sociais ou previdenciários, bem como de preços para os insumos relacionados ao exercício da atividade.</t>
  </si>
  <si>
    <t xml:space="preserve">                 Declaro que foi realizada pesquisa mercadológica conforme dados abaixo:</t>
  </si>
  <si>
    <t>Atacado Litoral</t>
  </si>
  <si>
    <t>48 3954 3100</t>
  </si>
  <si>
    <t>Atacado Catarinense</t>
  </si>
  <si>
    <t>48 3952 2500</t>
  </si>
  <si>
    <t>Kuerten Distribuidora</t>
  </si>
  <si>
    <t>48 9125-5407</t>
  </si>
  <si>
    <t>Descrição dos Materiais de Consumo
(Quantidade Mensal)</t>
  </si>
  <si>
    <r>
      <rPr>
        <b/>
        <sz val="10"/>
        <color rgb="FF000000"/>
        <rFont val="Arial"/>
        <family val="2"/>
      </rPr>
      <t>ALCOOL etílico</t>
    </r>
    <r>
      <rPr>
        <sz val="10"/>
        <color rgb="FF000000"/>
        <rFont val="Arial"/>
        <family val="2"/>
      </rPr>
      <t xml:space="preserve"> líquido, </t>
    </r>
    <r>
      <rPr>
        <b/>
        <sz val="10"/>
        <color rgb="FF000000"/>
        <rFont val="Arial"/>
        <family val="2"/>
      </rPr>
      <t>1 Litro</t>
    </r>
    <r>
      <rPr>
        <sz val="10"/>
        <color rgb="FF000000"/>
        <rFont val="Arial"/>
        <family val="2"/>
      </rPr>
      <t>, 70% INPM, para limpeza geral</t>
    </r>
  </si>
  <si>
    <t>Litro</t>
  </si>
  <si>
    <r>
      <rPr>
        <b/>
        <sz val="10"/>
        <color rgb="FF000000"/>
        <rFont val="Arial"/>
        <family val="2"/>
      </rPr>
      <t xml:space="preserve">CLORO </t>
    </r>
    <r>
      <rPr>
        <sz val="10"/>
        <color rgb="FF000000"/>
        <rFont val="Arial"/>
        <family val="2"/>
      </rPr>
      <t xml:space="preserve">(água sanitária), uso doméstico, a base de hipoclorito de sódio. </t>
    </r>
    <r>
      <rPr>
        <b/>
        <sz val="10"/>
        <color rgb="FF000000"/>
        <rFont val="Arial"/>
        <family val="2"/>
      </rPr>
      <t>Embalagem plástica de 05 litro</t>
    </r>
    <r>
      <rPr>
        <sz val="10"/>
        <color rgb="FF000000"/>
        <rFont val="Arial"/>
        <family val="2"/>
      </rPr>
      <t>s, com dados de identificação do produto, marca do fabricante, data de fabricação, prazo de validade e registro no Ministério da Saúde</t>
    </r>
  </si>
  <si>
    <t>Galão de 5 litros</t>
  </si>
  <si>
    <r>
      <rPr>
        <b/>
        <sz val="10"/>
        <color rgb="FF000000"/>
        <rFont val="Arial"/>
        <family val="2"/>
      </rPr>
      <t>DESINFETANTE l</t>
    </r>
    <r>
      <rPr>
        <sz val="10"/>
        <color rgb="FF000000"/>
        <rFont val="Arial"/>
        <family val="2"/>
      </rPr>
      <t xml:space="preserve">íquido concentrado com poder desinfetante, super concentrado, fragrância pinho, aparência líquido viscoso, coloração verde, para limpeza geral e pesada e conservação da área, </t>
    </r>
    <r>
      <rPr>
        <b/>
        <sz val="10"/>
        <color rgb="FF000000"/>
        <rFont val="Arial"/>
        <family val="2"/>
      </rPr>
      <t>5 Litros</t>
    </r>
  </si>
  <si>
    <r>
      <rPr>
        <b/>
        <sz val="10"/>
        <color rgb="FF000000"/>
        <rFont val="Arial"/>
        <family val="2"/>
      </rPr>
      <t>DETERGENTE</t>
    </r>
    <r>
      <rPr>
        <sz val="10"/>
        <color rgb="FF000000"/>
        <rFont val="Arial"/>
        <family val="2"/>
      </rPr>
      <t xml:space="preserve"> líquido </t>
    </r>
    <r>
      <rPr>
        <b/>
        <sz val="10"/>
        <color rgb="FF000000"/>
        <rFont val="Arial"/>
        <family val="2"/>
      </rPr>
      <t>5 litros</t>
    </r>
    <r>
      <rPr>
        <sz val="10"/>
        <color rgb="FF000000"/>
        <rFont val="Arial"/>
        <family val="2"/>
      </rPr>
      <t>, neutro, concentrado, inodoro, biodegradável, com dados de identificação do produto, marca do fabricante, data de fabricação e prazo de validade</t>
    </r>
  </si>
  <si>
    <r>
      <rPr>
        <b/>
        <sz val="10"/>
        <color rgb="FF000000"/>
        <rFont val="Arial"/>
        <family val="2"/>
      </rPr>
      <t>ESPONJA sintética</t>
    </r>
    <r>
      <rPr>
        <sz val="10"/>
        <color rgb="FF000000"/>
        <rFont val="Arial"/>
        <family val="2"/>
      </rPr>
      <t xml:space="preserve">, dupla face, um lado em espuma poliuretano e outro em fibra sintética abrasiva, dimensões 100 x 70 x 20 mm, com variação de +/- 10 mm. </t>
    </r>
    <r>
      <rPr>
        <b/>
        <sz val="10"/>
        <color rgb="FF000000"/>
        <rFont val="Arial"/>
        <family val="2"/>
      </rPr>
      <t>Embalagem 3M C/10 unidades</t>
    </r>
  </si>
  <si>
    <t>Pacotes</t>
  </si>
  <si>
    <r>
      <rPr>
        <b/>
        <sz val="10"/>
        <color rgb="FF000000"/>
        <rFont val="Arial"/>
        <family val="2"/>
      </rPr>
      <t xml:space="preserve">FLANELA </t>
    </r>
    <r>
      <rPr>
        <sz val="10"/>
        <color rgb="FF000000"/>
        <rFont val="Arial"/>
        <family val="2"/>
      </rPr>
      <t>40 x 60, 100% algodão, para uso geral</t>
    </r>
  </si>
  <si>
    <t>Unidade</t>
  </si>
  <si>
    <r>
      <rPr>
        <b/>
        <sz val="10"/>
        <color rgb="FF000000"/>
        <rFont val="Arial"/>
        <family val="2"/>
      </rPr>
      <t>LIMPA MÓVEL</t>
    </r>
    <r>
      <rPr>
        <sz val="10"/>
        <color rgb="FF000000"/>
        <rFont val="Arial"/>
        <family val="2"/>
      </rPr>
      <t xml:space="preserve"> de madeira, a base de óleo de peroba. Embalagem com </t>
    </r>
    <r>
      <rPr>
        <b/>
        <sz val="10"/>
        <color rgb="FF000000"/>
        <rFont val="Arial"/>
        <family val="2"/>
      </rPr>
      <t>200 ml</t>
    </r>
    <r>
      <rPr>
        <sz val="10"/>
        <color rgb="FF000000"/>
        <rFont val="Arial"/>
        <family val="2"/>
      </rPr>
      <t>, com dados de identificação do produto, marca do fabricante, data de fabricação, prazo de validade</t>
    </r>
    <r>
      <rPr>
        <sz val="10"/>
        <color rgb="FF000000"/>
        <rFont val="Arial"/>
        <family val="2"/>
      </rPr>
      <t>. (De qualidade igual ou superior ao "Lustra-Móveis Ypê Lavanda" ou ao "Lustra-móveis Peroba Lavanda)</t>
    </r>
  </si>
  <si>
    <r>
      <rPr>
        <b/>
        <sz val="10"/>
        <color rgb="FF000000"/>
        <rFont val="Arial"/>
        <family val="2"/>
      </rPr>
      <t>Oleo de peroba</t>
    </r>
    <r>
      <rPr>
        <sz val="10"/>
        <color rgb="FF000000"/>
        <rFont val="Arial"/>
        <family val="2"/>
      </rPr>
      <t xml:space="preserve"> para movéis de madeira com </t>
    </r>
    <r>
      <rPr>
        <b/>
        <sz val="10"/>
        <color rgb="FF000000"/>
        <rFont val="Arial"/>
        <family val="2"/>
      </rPr>
      <t>100 ml.</t>
    </r>
  </si>
  <si>
    <r>
      <rPr>
        <b/>
        <sz val="10"/>
        <color rgb="FF000000"/>
        <rFont val="Arial"/>
        <family val="2"/>
      </rPr>
      <t>LIMPADOR</t>
    </r>
    <r>
      <rPr>
        <sz val="10"/>
        <color rgb="FF000000"/>
        <rFont val="Arial"/>
        <family val="2"/>
      </rPr>
      <t xml:space="preserve"> de vidros. Embalagem de </t>
    </r>
    <r>
      <rPr>
        <b/>
        <sz val="10"/>
        <color rgb="FF000000"/>
        <rFont val="Arial"/>
        <family val="2"/>
      </rPr>
      <t xml:space="preserve">500ml </t>
    </r>
    <r>
      <rPr>
        <sz val="10"/>
        <color rgb="FF000000"/>
        <rFont val="Arial"/>
        <family val="2"/>
      </rPr>
      <t>na versão pulverizador, marca Veja ou similar</t>
    </r>
  </si>
  <si>
    <r>
      <rPr>
        <b/>
        <sz val="10"/>
        <color rgb="FF000000"/>
        <rFont val="Arial"/>
        <family val="2"/>
      </rPr>
      <t>PANO de chão</t>
    </r>
    <r>
      <rPr>
        <sz val="10"/>
        <color rgb="FF000000"/>
        <rFont val="Arial"/>
        <family val="2"/>
      </rPr>
      <t xml:space="preserve"> cru alvejado</t>
    </r>
  </si>
  <si>
    <r>
      <t>Tela Aromatizante para mictório, e</t>
    </r>
    <r>
      <rPr>
        <sz val="10"/>
        <color rgb="FF000000"/>
        <rFont val="Arial"/>
        <family val="2"/>
      </rPr>
      <t>mbalegem com 1 unidade</t>
    </r>
  </si>
  <si>
    <t>unidade</t>
  </si>
  <si>
    <r>
      <rPr>
        <b/>
        <sz val="10"/>
        <color rgb="FF000000"/>
        <rFont val="Arial"/>
        <family val="2"/>
      </rPr>
      <t>SABÃO em barra,</t>
    </r>
    <r>
      <rPr>
        <sz val="10"/>
        <color rgb="FF000000"/>
        <rFont val="Arial"/>
        <family val="2"/>
      </rPr>
      <t xml:space="preserve"> 1 kg</t>
    </r>
  </si>
  <si>
    <r>
      <rPr>
        <b/>
        <sz val="10"/>
        <color rgb="FF000000"/>
        <rFont val="Arial"/>
        <family val="2"/>
      </rPr>
      <t xml:space="preserve">SACO </t>
    </r>
    <r>
      <rPr>
        <sz val="10"/>
        <color rgb="FF000000"/>
        <rFont val="Arial"/>
        <family val="2"/>
      </rPr>
      <t>de lixo preto, 100  litros, pacote com 100 unidades</t>
    </r>
  </si>
  <si>
    <t>Pacote</t>
  </si>
  <si>
    <r>
      <rPr>
        <b/>
        <sz val="10"/>
        <color rgb="FF000000"/>
        <rFont val="Arial"/>
        <family val="2"/>
      </rPr>
      <t xml:space="preserve">SACO </t>
    </r>
    <r>
      <rPr>
        <sz val="10"/>
        <color rgb="FF000000"/>
        <rFont val="Arial"/>
        <family val="2"/>
      </rPr>
      <t>de lixo petro , 40 litros, pacote com 100 unidades</t>
    </r>
  </si>
  <si>
    <r>
      <rPr>
        <b/>
        <sz val="10"/>
        <color rgb="FF000000"/>
        <rFont val="Arial"/>
        <family val="2"/>
      </rPr>
      <t>Veja Gold</t>
    </r>
    <r>
      <rPr>
        <sz val="10"/>
        <color rgb="FF000000"/>
        <rFont val="Arial"/>
        <family val="2"/>
      </rPr>
      <t xml:space="preserve"> Original - Limpador Multiuso, </t>
    </r>
    <r>
      <rPr>
        <b/>
        <sz val="10"/>
        <color rgb="FF000000"/>
        <rFont val="Arial"/>
        <family val="2"/>
      </rPr>
      <t>embalagem de 500ml</t>
    </r>
  </si>
  <si>
    <r>
      <rPr>
        <b/>
        <sz val="10"/>
        <color rgb="FF000000"/>
        <rFont val="Arial"/>
        <family val="2"/>
      </rPr>
      <t>Bom Ar</t>
    </r>
    <r>
      <rPr>
        <sz val="10"/>
        <color rgb="FF000000"/>
        <rFont val="Arial"/>
        <family val="2"/>
      </rPr>
      <t xml:space="preserve">, purifcador de ar, spray automático, embalagem de </t>
    </r>
    <r>
      <rPr>
        <b/>
        <sz val="10"/>
        <color rgb="FF000000"/>
        <rFont val="Arial"/>
        <family val="2"/>
      </rPr>
      <t>40 ml/250 gramas</t>
    </r>
    <r>
      <rPr>
        <sz val="10"/>
        <color rgb="FF000000"/>
        <rFont val="Arial"/>
        <family val="2"/>
      </rPr>
      <t>.</t>
    </r>
  </si>
  <si>
    <r>
      <rPr>
        <b/>
        <sz val="10"/>
        <rFont val="Arial"/>
        <family val="2"/>
      </rPr>
      <t>PAPEL HIGIÊNICO</t>
    </r>
    <r>
      <rPr>
        <sz val="10"/>
        <rFont val="Arial"/>
        <family val="2"/>
      </rPr>
      <t xml:space="preserve">. (Tipo: folha dupla. Metragem: mínima de </t>
    </r>
    <r>
      <rPr>
        <b/>
        <sz val="10"/>
        <rFont val="Arial"/>
        <family val="2"/>
      </rPr>
      <t>250 m/rol</t>
    </r>
    <r>
      <rPr>
        <sz val="10"/>
        <rFont val="Arial"/>
        <family val="2"/>
      </rPr>
      <t>o. Cor: extra branco. Característica adicional: macio). (De qualidade igual ou superior ao "PAPEL HIGIÊNICO EM ROLO FOLHA DUPLA EXCELLENCE da marca Elite Professional").</t>
    </r>
  </si>
  <si>
    <t>Fardo com 8 rolos de 250 metros</t>
  </si>
  <si>
    <t>Fardo com 6 rolos de 200 metros</t>
  </si>
  <si>
    <t>Custo mensal dos materiais de consumo</t>
  </si>
  <si>
    <r>
      <t xml:space="preserve">Custo efetivo mensal dos materias de consumo dividido pelo nº previsto de serventes </t>
    </r>
    <r>
      <rPr>
        <b/>
        <i/>
        <sz val="10"/>
        <rFont val="Arial"/>
        <family val="2"/>
      </rPr>
      <t>(custo mensal / Nr serventes)</t>
    </r>
  </si>
  <si>
    <t>Descrição dos Utensílios de consumo
 (Quantidade Anual)</t>
  </si>
  <si>
    <r>
      <rPr>
        <b/>
        <sz val="10"/>
        <color rgb="FF000000"/>
        <rFont val="Arial"/>
        <family val="2"/>
      </rPr>
      <t>BALDE PLÁSTICO</t>
    </r>
    <r>
      <rPr>
        <sz val="10"/>
        <color rgb="FF000000"/>
        <rFont val="Arial"/>
        <family val="2"/>
      </rPr>
      <t xml:space="preserve"> para limpeza  20L</t>
    </r>
  </si>
  <si>
    <r>
      <rPr>
        <b/>
        <sz val="10"/>
        <color rgb="FF000000"/>
        <rFont val="Arial"/>
        <family val="2"/>
      </rPr>
      <t>DESENTUPIDOR DE VASO</t>
    </r>
    <r>
      <rPr>
        <sz val="10"/>
        <color rgb="FF000000"/>
        <rFont val="Arial"/>
        <family val="2"/>
      </rPr>
      <t xml:space="preserve"> Sanitário</t>
    </r>
  </si>
  <si>
    <r>
      <rPr>
        <b/>
        <sz val="10"/>
        <color rgb="FF000000"/>
        <rFont val="Arial"/>
        <family val="2"/>
      </rPr>
      <t>ESCOVA</t>
    </r>
    <r>
      <rPr>
        <sz val="10"/>
        <color rgb="FF000000"/>
        <rFont val="Arial"/>
        <family val="2"/>
      </rPr>
      <t xml:space="preserve"> para lavar pano</t>
    </r>
  </si>
  <si>
    <r>
      <rPr>
        <b/>
        <sz val="10"/>
        <color rgb="FF000000"/>
        <rFont val="Arial"/>
        <family val="2"/>
      </rPr>
      <t>LUVA EM LÁTEX</t>
    </r>
    <r>
      <rPr>
        <sz val="10"/>
        <color rgb="FF000000"/>
        <rFont val="Arial"/>
        <family val="2"/>
      </rPr>
      <t xml:space="preserve"> de borracha natural, internamente forrada com flocos de algodão, tamanho M, cor amarela, pacote com 1 par. </t>
    </r>
  </si>
  <si>
    <r>
      <rPr>
        <b/>
        <sz val="10"/>
        <color rgb="FF000000"/>
        <rFont val="Arial"/>
        <family val="2"/>
      </rPr>
      <t xml:space="preserve">LUVA EM LÁTEX  </t>
    </r>
    <r>
      <rPr>
        <sz val="10"/>
        <color rgb="FF000000"/>
        <rFont val="Arial"/>
        <family val="2"/>
      </rPr>
      <t>de borracha natural de borracha natural, internamente forrada com flocos de algodão , tamanho G, cor amarela, pacote com 1 par.</t>
    </r>
  </si>
  <si>
    <r>
      <rPr>
        <b/>
        <sz val="10"/>
        <color rgb="FF000000"/>
        <rFont val="Arial"/>
        <family val="2"/>
      </rPr>
      <t>RODO</t>
    </r>
    <r>
      <rPr>
        <sz val="10"/>
        <color rgb="FF000000"/>
        <rFont val="Arial"/>
        <family val="2"/>
      </rPr>
      <t xml:space="preserve"> com duas borrachas 40cm com cabo longo</t>
    </r>
  </si>
  <si>
    <r>
      <rPr>
        <b/>
        <sz val="10"/>
        <color rgb="FF000000"/>
        <rFont val="Arial"/>
        <family val="2"/>
      </rPr>
      <t xml:space="preserve">RODO </t>
    </r>
    <r>
      <rPr>
        <sz val="10"/>
        <color rgb="FF000000"/>
        <rFont val="Arial"/>
        <family val="2"/>
      </rPr>
      <t>com duas borrachas  60cm com cabo longo</t>
    </r>
  </si>
  <si>
    <r>
      <rPr>
        <b/>
        <sz val="10"/>
        <color rgb="FF000000"/>
        <rFont val="Arial"/>
        <family val="2"/>
      </rPr>
      <t>VASSOURA</t>
    </r>
    <r>
      <rPr>
        <sz val="10"/>
        <color rgb="FF000000"/>
        <rFont val="Arial"/>
        <family val="2"/>
      </rPr>
      <t xml:space="preserve">  de piaçava</t>
    </r>
  </si>
  <si>
    <r>
      <rPr>
        <b/>
        <sz val="10"/>
        <color rgb="FF000000"/>
        <rFont val="Arial"/>
        <family val="2"/>
      </rPr>
      <t>VASSOURA</t>
    </r>
    <r>
      <rPr>
        <sz val="10"/>
        <color rgb="FF000000"/>
        <rFont val="Arial"/>
        <family val="2"/>
      </rPr>
      <t xml:space="preserve">  de pelo com cabo para piso de cerâmica</t>
    </r>
  </si>
  <si>
    <t>Pá de aço para limpeza de cabo grande.</t>
  </si>
  <si>
    <r>
      <rPr>
        <b/>
        <sz val="10"/>
        <color rgb="FF000000"/>
        <rFont val="Arial"/>
        <family val="2"/>
      </rPr>
      <t>RODO</t>
    </r>
    <r>
      <rPr>
        <sz val="10"/>
        <color rgb="FF000000"/>
        <rFont val="Arial"/>
        <family val="2"/>
      </rPr>
      <t xml:space="preserve"> limpa vidro com cabo longo- mínimo 1,5M</t>
    </r>
  </si>
  <si>
    <r>
      <rPr>
        <b/>
        <sz val="10"/>
        <color rgb="FF000000"/>
        <rFont val="Arial"/>
        <family val="2"/>
      </rPr>
      <t>Disco Removedor Preto</t>
    </r>
    <r>
      <rPr>
        <sz val="10"/>
        <color rgb="FF000000"/>
        <rFont val="Arial"/>
        <family val="2"/>
      </rPr>
      <t xml:space="preserve"> 350m Enceradeira Cleaner Deep Allclean</t>
    </r>
  </si>
  <si>
    <r>
      <rPr>
        <b/>
        <sz val="10"/>
        <color rgb="FF000000"/>
        <rFont val="Arial"/>
        <family val="2"/>
      </rPr>
      <t>Suporte Lt</t>
    </r>
    <r>
      <rPr>
        <sz val="10"/>
        <color rgb="FF000000"/>
        <rFont val="Arial"/>
        <family val="2"/>
      </rPr>
      <t xml:space="preserve"> Velcro Com Cabo 1,4 Metros</t>
    </r>
  </si>
  <si>
    <r>
      <rPr>
        <b/>
        <sz val="10"/>
        <color rgb="FF000000"/>
        <rFont val="Arial"/>
        <family val="2"/>
      </rPr>
      <t>Fibra de lã verde</t>
    </r>
    <r>
      <rPr>
        <sz val="10"/>
        <color rgb="FF000000"/>
        <rFont val="Arial"/>
        <family val="2"/>
      </rPr>
      <t xml:space="preserve"> para suporte  Lt Velcro pacote com 10 unidades</t>
    </r>
  </si>
  <si>
    <t>Custo total anual dos utensílios de consumo</t>
  </si>
  <si>
    <r>
      <t xml:space="preserve">Custo efetivo mensal dos utensílios de consumo dividido pelo nº de meses previsto da contratação e de serventes </t>
    </r>
    <r>
      <rPr>
        <b/>
        <i/>
        <sz val="9"/>
        <rFont val="Arial"/>
        <family val="2"/>
      </rPr>
      <t>(custo anual / 12 / nr serventes)</t>
    </r>
  </si>
  <si>
    <t xml:space="preserve">Custo efetivo mensal dos materiais e utensílios de consumo </t>
  </si>
  <si>
    <t>Valor</t>
  </si>
  <si>
    <t>Custo efetivo mensal dos materias de consumo</t>
  </si>
  <si>
    <t>Custo efetivo mensal dos utensílios de consumo</t>
  </si>
  <si>
    <t>Custo efetivo mensal dos materiais e utensílios de consumo</t>
  </si>
  <si>
    <t>Especificação dos Equipamentos, Ferramentas e Acessórios</t>
  </si>
  <si>
    <t>Dispenser para papel higiênico (compativel com o papel fornecido)</t>
  </si>
  <si>
    <t xml:space="preserve">Dispenser/Saboneteira líquida de parede </t>
  </si>
  <si>
    <t>Aspirador de pó</t>
  </si>
  <si>
    <t>Carrinho de mão</t>
  </si>
  <si>
    <t>Enceradeira industrial</t>
  </si>
  <si>
    <t>Escada de alumínio com 7 degraus</t>
  </si>
  <si>
    <t>Lavadora de alta pressão</t>
  </si>
  <si>
    <t>Mangueira de jardim 100 metros</t>
  </si>
  <si>
    <t>Tesoura de poda,48,2C x 15,6L centímetros, Borda da lâmina, reto.</t>
  </si>
  <si>
    <t>Tesoura para Poda 18cm Palisad</t>
  </si>
  <si>
    <t xml:space="preserve">Pá para jardim </t>
  </si>
  <si>
    <t>Enxada para jardim</t>
  </si>
  <si>
    <t xml:space="preserve">Rastelo para jardim </t>
  </si>
  <si>
    <t>Tesourão para Poda com Cabo Telescópico 66cm a 1M TS-40836 Trapp, Lâmina em aço Carbono teflonado
- Cabo telescópico facilmente ajustável
- Empunhadeira ergonômica em plástico aderente
- Ideal para serviços pesados de poda em árvores</t>
  </si>
  <si>
    <t xml:space="preserve">Roçadeira Sthil a gasolina </t>
  </si>
  <si>
    <t>Custo total anual dos equipamentos, ferramentas e acessórios</t>
  </si>
  <si>
    <r>
      <t xml:space="preserve">Custo efetivo mensal dos equipamentos, ferramentas e acessórios </t>
    </r>
    <r>
      <rPr>
        <b/>
        <i/>
        <sz val="10"/>
        <rFont val="Arial"/>
        <family val="2"/>
      </rPr>
      <t>(custo anual x taxa de depreciação) / 12</t>
    </r>
    <r>
      <rPr>
        <b/>
        <sz val="10"/>
        <rFont val="Arial"/>
        <family val="2"/>
      </rPr>
      <t xml:space="preserve"> / Nr serventes</t>
    </r>
  </si>
  <si>
    <t>OBS.: Diferentemente dos materiais, os equipamentos não são cotados na planilha pelo seu valor integral, mas apenas o valor equivalente a TAXA DE DEPRECIAÇÃO ANUAL. O prazo de vida útil e a taxa de depreciação anual de equipamentos são definidos atualmente pela Instrução Normativa nº 1.700, de 14 de março de 2017, Anexo III - Taxas Anuais de Depreciação. Fórmula (custo anual dos equipamentos x taxa anual de depreciação% / 12). Se essa metodologia não for utilizada, a Administração pode cometer o erro de remunerar o contratado, ao fim de um ano, pelo custo de aquisição integral dos equipamentos, o que seria danoso para o erário. Ver Acórdão TCU 966/2010 – Plenário.</t>
  </si>
  <si>
    <t>Dados do Cadastro Geral de Empregados e Desempregados (CAGED) ...UF...</t>
  </si>
  <si>
    <t>PERCENTUAIS POR TIPO DE DESLIGAMENTO</t>
  </si>
  <si>
    <t>Ver caderno Técnico da UF e preencher índices em AMARELO</t>
  </si>
  <si>
    <t>Tipos</t>
  </si>
  <si>
    <t>Demissão SEM justa Causa</t>
  </si>
  <si>
    <t xml:space="preserve">---&gt; </t>
  </si>
  <si>
    <t xml:space="preserve"> Ap Indenizado</t>
  </si>
  <si>
    <t>Demissão COM justa Causa</t>
  </si>
  <si>
    <t xml:space="preserve"> Ap Trabalhado</t>
  </si>
  <si>
    <t>Desligamentos OUTROS TIPOS</t>
  </si>
  <si>
    <t xml:space="preserve">Demissão SEM justa Causa - AP 
INDENIZADO </t>
  </si>
  <si>
    <t>Demissão SEM justa Causa - AP 
TRABALHADO</t>
  </si>
  <si>
    <t>Nº Meses emprego</t>
  </si>
  <si>
    <t>&lt;----- Simulação de outros cenários para caso concreto</t>
  </si>
  <si>
    <t>AP INDENIZADO</t>
  </si>
  <si>
    <t>Módulo 2</t>
  </si>
  <si>
    <t>GPS (-)</t>
  </si>
  <si>
    <t>OU</t>
  </si>
  <si>
    <t>Pencentual CAGED</t>
  </si>
  <si>
    <r>
      <t xml:space="preserve">VALOR </t>
    </r>
    <r>
      <rPr>
        <b/>
        <sz val="10"/>
        <color rgb="FF0000FF"/>
        <rFont val="Arial"/>
        <family val="2"/>
      </rPr>
      <t>AP INDENIZADO</t>
    </r>
  </si>
  <si>
    <r>
      <t xml:space="preserve">VALOR </t>
    </r>
    <r>
      <rPr>
        <b/>
        <sz val="9"/>
        <color rgb="FF0000FF"/>
        <rFont val="Arial"/>
        <family val="2"/>
      </rPr>
      <t>AP INDENIZADO</t>
    </r>
  </si>
  <si>
    <r>
      <t xml:space="preserve">MULTA FGTS E CONTRIBUIÇÃO SOCIAL SOBRE O </t>
    </r>
    <r>
      <rPr>
        <b/>
        <sz val="10"/>
        <color rgb="FF0000FF"/>
        <rFont val="Arial"/>
        <family val="2"/>
      </rPr>
      <t>AP INDENIZADO</t>
    </r>
  </si>
  <si>
    <t>Percentual FGTS</t>
  </si>
  <si>
    <t>Multa FGTS</t>
  </si>
  <si>
    <r>
      <t xml:space="preserve">VALOR MULTA FGTS E CONTRIBUIÇÃO SOCIAL NO </t>
    </r>
    <r>
      <rPr>
        <b/>
        <sz val="10"/>
        <color rgb="FF0000FF"/>
        <rFont val="Arial"/>
        <family val="2"/>
      </rPr>
      <t>AP INDENIZADO</t>
    </r>
  </si>
  <si>
    <r>
      <t xml:space="preserve">VALOR MULTA FGTS E CONTRIBUIÇÃO SOCIAL NO </t>
    </r>
    <r>
      <rPr>
        <b/>
        <sz val="9"/>
        <color rgb="FF0000FF"/>
        <rFont val="Arial"/>
        <family val="2"/>
      </rPr>
      <t>AP INDENIZADO</t>
    </r>
  </si>
  <si>
    <t>AP TRABALHADO</t>
  </si>
  <si>
    <t>Acórdão TCU Plenário n. 1186/2017</t>
  </si>
  <si>
    <t>"deve estabelecer na minuta do contrato que a parcela mensal a título de aviso prévio trabalhado será no percentual máximo de 1,94% no primeiro ano, e, em caso de prorrogação do contrato, o percentual máximo dessa parcela será de 0,194% a cada ano de prorrogação, a ser incluído por ocasião da formulação do aditivo da prorrogação do contrato, conforme a Lei 12.506/2011". Atentar para as orientações da Nota Técnica nº 652/2017 - MP, que trata justamente sobre o cálculo das eventuais deduções a serem feitas a cada ano de execução contratual.</t>
  </si>
  <si>
    <r>
      <t xml:space="preserve">VALOR </t>
    </r>
    <r>
      <rPr>
        <b/>
        <sz val="10"/>
        <color rgb="FF00B050"/>
        <rFont val="Arial"/>
        <family val="2"/>
      </rPr>
      <t>AP TRABALHADO</t>
    </r>
  </si>
  <si>
    <r>
      <t xml:space="preserve">VALOR </t>
    </r>
    <r>
      <rPr>
        <b/>
        <sz val="9"/>
        <color rgb="FF00B050"/>
        <rFont val="Arial"/>
        <family val="2"/>
      </rPr>
      <t>AP TRABALHADO</t>
    </r>
  </si>
  <si>
    <r>
      <t xml:space="preserve">MULTA FGTS E CONTRIBUIÇÃO SOCIAL NO </t>
    </r>
    <r>
      <rPr>
        <b/>
        <sz val="10"/>
        <color rgb="FF00B050"/>
        <rFont val="Arial"/>
        <family val="2"/>
      </rPr>
      <t>AP TRABALHADO</t>
    </r>
  </si>
  <si>
    <r>
      <t xml:space="preserve">VALOR MULTA FGTS E CONTRIBUIÇÃO SOCIAL NO </t>
    </r>
    <r>
      <rPr>
        <b/>
        <sz val="10"/>
        <color rgb="FF00B050"/>
        <rFont val="Arial"/>
        <family val="2"/>
      </rPr>
      <t>AP TRABALHADO</t>
    </r>
  </si>
  <si>
    <r>
      <t xml:space="preserve">VALOR MULTA FGTS E CONTRIBUIÇÃO SOCIAL NO </t>
    </r>
    <r>
      <rPr>
        <b/>
        <sz val="9"/>
        <color rgb="FF00B050"/>
        <rFont val="Arial"/>
        <family val="2"/>
      </rPr>
      <t>AP TRABALHADO</t>
    </r>
  </si>
  <si>
    <t>Demissão por justa causa</t>
  </si>
  <si>
    <t>Submódulo 2.1 (-)</t>
  </si>
  <si>
    <t>VALOR DEMISSÃO POR JUSTA CAUSA</t>
  </si>
  <si>
    <t>Resumo Módulo 3 - Provisão para Rescisão</t>
  </si>
  <si>
    <t>Referência</t>
  </si>
  <si>
    <t>Acórdãos</t>
  </si>
  <si>
    <t>CNJ</t>
  </si>
  <si>
    <t xml:space="preserve">Caso </t>
  </si>
  <si>
    <t>Rubricas</t>
  </si>
  <si>
    <t>Caderno Técnico</t>
  </si>
  <si>
    <t>TCU</t>
  </si>
  <si>
    <t>Concreto</t>
  </si>
  <si>
    <t>VALOR TOTAL PROVISÃO PARA RESCISÃO (MÓD. 3)</t>
  </si>
  <si>
    <t>a)</t>
  </si>
  <si>
    <t>Tributos % = To = .................................................................................</t>
  </si>
  <si>
    <t>b)</t>
  </si>
  <si>
    <t>(Total dos Módulos 1, 2, 3, 4 e 5+ Custos indiretos + lucro)= Po = .......</t>
  </si>
  <si>
    <t>c)</t>
  </si>
  <si>
    <t>Po / (1 - To) = P1 = ...............................................................................</t>
  </si>
  <si>
    <t>Valor dos Tributos = P1 - Po</t>
  </si>
  <si>
    <t>CUSTO DE REPOSIÇÃO DO PROFISSIONAL AUSENTE - CRPA</t>
  </si>
  <si>
    <t>valor que será pago toda vez que um empregado estiver ausente e será necessária sua reposição.</t>
  </si>
  <si>
    <t>Módulo 1:</t>
  </si>
  <si>
    <t>Módulo 2:</t>
  </si>
  <si>
    <t>Módulo 3:</t>
  </si>
  <si>
    <t xml:space="preserve">Total </t>
  </si>
  <si>
    <t>Dias Mês</t>
  </si>
  <si>
    <t>Custo diário:</t>
  </si>
  <si>
    <t>Estimativa de dias da necessidade anual de reposição (Férias)</t>
  </si>
  <si>
    <t>Férias</t>
  </si>
  <si>
    <t>Ausência justificada</t>
  </si>
  <si>
    <t>Estimativa de dias da necessidade anual de reposição (Ausências legais)</t>
  </si>
  <si>
    <t>Curso de reciclagem</t>
  </si>
  <si>
    <t>Acidente de trabalho</t>
  </si>
  <si>
    <t>Estimativa de dias da necessidade anual de reposição (Paternidade)</t>
  </si>
  <si>
    <t>Afastamento por doença</t>
  </si>
  <si>
    <t>Consulta médica filho</t>
  </si>
  <si>
    <t>Estimativa de dias da necessidade anual de reposição (Acidente Trabalho)</t>
  </si>
  <si>
    <t>Óbitos na família</t>
  </si>
  <si>
    <t>Casamento</t>
  </si>
  <si>
    <t>Estimativa de dias da necessidade anual de reposição (Maternidade)</t>
  </si>
  <si>
    <t>Doação de sangue</t>
  </si>
  <si>
    <t>Testemunho</t>
  </si>
  <si>
    <t>TT dias Rep</t>
  </si>
  <si>
    <t>Paternidade</t>
  </si>
  <si>
    <t>Custo mensal de reposição (Férias)</t>
  </si>
  <si>
    <t>Maternidade</t>
  </si>
  <si>
    <t>Consulta pré-natal</t>
  </si>
  <si>
    <t>Custo mensal de reposição (Ausências legais)</t>
  </si>
  <si>
    <t>Necessidade de dias de reposição</t>
  </si>
  <si>
    <t>Custo mensal de reposição (Paternidade)</t>
  </si>
  <si>
    <t>Custo mensal de reposição (Acidente Trabalho)</t>
  </si>
  <si>
    <t>Custo mensal de reposição (Maternidade)</t>
  </si>
  <si>
    <t>Custo Total Mês Reposição Profissional Ausente</t>
  </si>
  <si>
    <t>CUSTO Intrajornada</t>
  </si>
  <si>
    <t>Divisor de Hora</t>
  </si>
  <si>
    <t>&lt;----</t>
  </si>
  <si>
    <t>Previsto na CCT</t>
  </si>
  <si>
    <t>Valor da hora</t>
  </si>
  <si>
    <t>Quantidade de horas/mês a repor (12x36h)</t>
  </si>
  <si>
    <t>Custo Efetivo da Intrajornada</t>
  </si>
  <si>
    <t>Dados estatísticos resultantes do estudo desenvolvido pela Fundação Instituto de Administração (FIA) em 2014/2015, adotando-se a métrica estabelecida por aquela instituição, com dados atualizados da Relação Anual de Informações Sociais-2016 (RAIS/MTE), da Pesquisa Nacional por Amostra de Domicílios-2016 (PNAD/IBGE), do Registro Civil (IBGE)-2016 e dados estatísticos sobre saúde e segurança do trabalhador disponibilizados pelo INSS/MPS em 2014, em virtude da inexistência de base similar para 2016.</t>
  </si>
  <si>
    <t>Valor Total por Empregado / Salário Base</t>
  </si>
  <si>
    <t>Fator K:</t>
  </si>
  <si>
    <t>Fator K ou Fator Economicidade (resultado do preço do posto pela remuneração)</t>
  </si>
  <si>
    <t>Referência considerado exequível</t>
  </si>
  <si>
    <t>contratações de TIC</t>
  </si>
  <si>
    <t>https://www.gov.br/governodigital/pt-br/contratacoes/nota-metodologica.pdf</t>
  </si>
  <si>
    <t>2,5 a 2,8</t>
  </si>
  <si>
    <t>sem material</t>
  </si>
  <si>
    <t>Nota Técnica nº 2/2018/CGAC/CISET/SG-PR (objeto copeiragem, o Fator considerado como média adequada foi 2,7)</t>
  </si>
  <si>
    <t>2,9 e 3,3</t>
  </si>
  <si>
    <t>com material</t>
  </si>
  <si>
    <t>Orientações para o preenchimento da Planilha</t>
  </si>
  <si>
    <t xml:space="preserve">Premissas: </t>
  </si>
  <si>
    <t>-Os valores informados em cada campo da planilha representam o custo proporcional mensal;</t>
  </si>
  <si>
    <r>
      <t xml:space="preserve">-A metodologia de cálculo utilizada representa a </t>
    </r>
    <r>
      <rPr>
        <u/>
        <sz val="10"/>
        <rFont val="Arial"/>
        <family val="2"/>
      </rPr>
      <t>estimativa da administração</t>
    </r>
    <r>
      <rPr>
        <sz val="10"/>
        <rFont val="Arial"/>
        <family val="2"/>
      </rPr>
      <t xml:space="preserve"> para apurar o custo da contratação;</t>
    </r>
  </si>
  <si>
    <r>
      <t xml:space="preserve">-As fórmulas utilizadas pela administração em sua planilha estimativa </t>
    </r>
    <r>
      <rPr>
        <b/>
        <sz val="10"/>
        <rFont val="Arial"/>
        <family val="2"/>
      </rPr>
      <t>vinculam</t>
    </r>
    <r>
      <rPr>
        <sz val="10"/>
        <rFont val="Arial"/>
        <family val="2"/>
      </rPr>
      <t xml:space="preserve"> os participantes da licitação, exceto item 4.1, de livre estimativa;</t>
    </r>
  </si>
  <si>
    <t>- De forma excepcional e mediante memorial e justificativa apresentada pelo licitante, as fórmulas utilizadas poderão ser alteradas, desde que haja autorização da ANM e razoabilidade nos cálculos;</t>
  </si>
  <si>
    <t>- Não será admitido lançamento de custo no item 4.1 A "substituto de férias";</t>
  </si>
  <si>
    <t>-Com exceção do Módulo 4, os demais componentes da planilha se referem aos custos do empregado titular do posto contratado;</t>
  </si>
  <si>
    <r>
      <t xml:space="preserve">-Como medida para mitigar riscos, a administração faz uso da </t>
    </r>
    <r>
      <rPr>
        <b/>
        <sz val="10"/>
        <rFont val="Arial"/>
        <family val="2"/>
      </rPr>
      <t>Conta Vinculada</t>
    </r>
    <r>
      <rPr>
        <sz val="10"/>
        <rFont val="Arial"/>
        <family val="2"/>
      </rPr>
      <t xml:space="preserve"> nas contratações com dedicação exclusiva de mão de obra, para provisionamento dos valores de 13º, férias, rescisão, etc;</t>
    </r>
  </si>
  <si>
    <t>-Independente dos percentuais cotados pela licitante em sua planilha de custo, quando da execução do contrato os valores retidos para conta vinculada serão aqueles indicados no item 14, Anexo XII, da IN 5/2017;</t>
  </si>
  <si>
    <t>-Itens da planilha que são considerados custos não renováveis, ou seja, quando da primeira prorrogação contratual serão reduzidos ou suprimidos do valor mensal contratado:</t>
  </si>
  <si>
    <t>Aviso Prévio Trabalhado (Acórdão TCU Plenário nº. 1186/2017), será reduzido para 10%, do índice cotado pelo licitante em sua planilha</t>
  </si>
  <si>
    <t>Detalhamento das memórias de cálculo utilizadas pela administração em sua estimativa</t>
  </si>
  <si>
    <r>
      <t>13º (Décimo-terceiro) salário</t>
    </r>
    <r>
      <rPr>
        <sz val="10"/>
        <color indexed="10"/>
        <rFont val="Arial"/>
        <family val="2"/>
      </rPr>
      <t xml:space="preserve"> - </t>
    </r>
    <r>
      <rPr>
        <i/>
        <sz val="8"/>
        <color rgb="FFFF0000"/>
        <rFont val="Arial"/>
        <family val="2"/>
      </rPr>
      <t xml:space="preserve">O custo com 13º salário a ser </t>
    </r>
    <r>
      <rPr>
        <i/>
        <u/>
        <sz val="8"/>
        <color rgb="FFFF0000"/>
        <rFont val="Arial"/>
        <family val="2"/>
      </rPr>
      <t>provisionado mensalmente</t>
    </r>
    <r>
      <rPr>
        <i/>
        <sz val="8"/>
        <color rgb="FFFF0000"/>
        <rFont val="Arial"/>
        <family val="2"/>
      </rPr>
      <t xml:space="preserve"> na Planilha é realizado a partir da aplicação do percentual (1/12x100) = 8,33%, sobre a remuneração.</t>
    </r>
  </si>
  <si>
    <r>
      <t xml:space="preserve">Férias e Adicional de Férias </t>
    </r>
    <r>
      <rPr>
        <i/>
        <sz val="8"/>
        <color rgb="FFFF0000"/>
        <rFont val="Arial"/>
        <family val="2"/>
      </rPr>
      <t>(a aplicação do percentual de 12,10% sobre a remuneração mensal decorre do item 14, Anexo XII, IN 5/2017-Conta Vinculada)</t>
    </r>
  </si>
  <si>
    <r>
      <t xml:space="preserve">Incidência do Submódulo 2.2 sobre 13º Salário, Férias e Adicional de Férias </t>
    </r>
    <r>
      <rPr>
        <i/>
        <sz val="8"/>
        <color rgb="FFFF0000"/>
        <rFont val="Arial"/>
        <family val="2"/>
      </rPr>
      <t>(a aplicação do percentual de 7,82% sobre a remuneração mensal decorre do item 14, Anexo XII, IN 5/2017-Conta Vinculada. Caso SAT/RAT 1%=7,39%; 2%=7,60%; ou 3%=7,82%)</t>
    </r>
  </si>
  <si>
    <t>OBSERVAÇÃO: O componente de custo indicado na letra C, acima, pode ser calculado juntamente com o submódulo 2.2.</t>
  </si>
  <si>
    <r>
      <t xml:space="preserve">Multa do FGTS e contribuição social sobre o Aviso Prévio Indenizado </t>
    </r>
    <r>
      <rPr>
        <i/>
        <sz val="8"/>
        <color rgb="FFFF0000"/>
        <rFont val="Arial"/>
        <family val="2"/>
      </rPr>
      <t>(a aplicação do percentual sobre a remuneração mensal decorre do item 14, Anexo XII, IN 5/2017-Conta Vinculada, onde o somatório da multa do FGTS e contribuição social sobre o API + APT = 4,00%)</t>
    </r>
  </si>
  <si>
    <r>
      <t xml:space="preserve">Multa do FGTS e contribuição social sobre o Aviso Prévio Trabalhado </t>
    </r>
    <r>
      <rPr>
        <i/>
        <sz val="8"/>
        <color rgb="FFFF0000"/>
        <rFont val="Arial"/>
        <family val="2"/>
      </rPr>
      <t>a aplicação do percentual sobre a remuneração mensal decorre do item 14, Anexo XII, IN 5/2017-Conta Vinculada, onde o somatório da multa do FGTS e contribuição social sobre o API + APT = 4,00%)</t>
    </r>
  </si>
  <si>
    <t>3A</t>
  </si>
  <si>
    <t>% API = (RE/12) x PERC</t>
  </si>
  <si>
    <t>% API = Índice a ser aplicado sobre o total do Módulo 1 para estimativa mensal do custo com aviso prévio indenizado</t>
  </si>
  <si>
    <t>RE = Remuneração do Empregado (total do Módulo 1)</t>
  </si>
  <si>
    <t>12 = número de meses no ano</t>
  </si>
  <si>
    <t>PERC = percentual arbitrado de empregados que poderão ser demitidos sem a concessão de aviso prévio</t>
  </si>
  <si>
    <t>De acordo com levantamento efetuado em diversos contratos, cerca de 5% do pessoal é demitido pelo empregador</t>
  </si>
  <si>
    <t>%AP = [0,05x(1/12)]x100 = 0,42%</t>
  </si>
  <si>
    <t>3B</t>
  </si>
  <si>
    <t>Incidência do FGTS sobre Aviso Prévio Indenizado</t>
  </si>
  <si>
    <t xml:space="preserve">Item 3B = 8,00% x aviso prévio indenizado(item 3A) </t>
  </si>
  <si>
    <t>3C</t>
  </si>
  <si>
    <t>Item 3C + Item 3F = 4% - conforme orientação do (item 14, Anexo XII, IN 5/2017-Conta Vinculada, onde somatório da multa do API + APT = 4,00%)</t>
  </si>
  <si>
    <t>Então, 0,20% é aplicado sobre a RE = Remuneração do Empregado (total do Módulo 1)</t>
  </si>
  <si>
    <t>3D</t>
  </si>
  <si>
    <t>3E</t>
  </si>
  <si>
    <t>Incidência de GPS, FGTS e outras contribuições sobre o Aviso Prévio Trabalhado Prévio Trabalhado</t>
  </si>
  <si>
    <t xml:space="preserve">Item 3E = 36,80% x aviso prévio trabalhado(item 3D) </t>
  </si>
  <si>
    <t>3F</t>
  </si>
  <si>
    <t>Então, 3,80% é aplicado sobre a RE = Remuneração do Empregado (total do Módulo 1)</t>
  </si>
  <si>
    <r>
      <t xml:space="preserve">Substituto na cobertura de Ausências Legais </t>
    </r>
    <r>
      <rPr>
        <i/>
        <sz val="8"/>
        <color rgb="FFFF0000"/>
        <rFont val="Arial"/>
        <family val="2"/>
      </rPr>
      <t>(6/30/12)x100</t>
    </r>
    <r>
      <rPr>
        <sz val="10"/>
        <rFont val="Arial"/>
        <family val="2"/>
      </rPr>
      <t>,</t>
    </r>
    <r>
      <rPr>
        <sz val="8"/>
        <rFont val="Arial"/>
        <family val="2"/>
      </rPr>
      <t xml:space="preserve"> </t>
    </r>
    <r>
      <rPr>
        <sz val="8"/>
        <color rgb="FFFF0000"/>
        <rFont val="Arial"/>
        <family val="2"/>
      </rPr>
      <t>estimativa baseada no STJ de 6 dias de licenças legais por ano, sendo livre estimativa do licitante</t>
    </r>
  </si>
  <si>
    <r>
      <t xml:space="preserve">Substituto na cobertura de Licença Paternidade </t>
    </r>
    <r>
      <rPr>
        <i/>
        <sz val="8"/>
        <color rgb="FFFF0000"/>
        <rFont val="Arial"/>
        <family val="2"/>
      </rPr>
      <t>(5/30/12)x0,015x100</t>
    </r>
    <r>
      <rPr>
        <sz val="10"/>
        <color rgb="FFFF0000"/>
        <rFont val="Arial"/>
        <family val="2"/>
      </rPr>
      <t xml:space="preserve">, </t>
    </r>
    <r>
      <rPr>
        <sz val="8"/>
        <color rgb="FFFF0000"/>
        <rFont val="Arial"/>
        <family val="2"/>
      </rPr>
      <t>com base no STJ considerando uma estimativa de 1,5% dos empregados usufruindo 5 (cinco) dias de licença por ano</t>
    </r>
    <r>
      <rPr>
        <sz val="10"/>
        <color rgb="FFFF0000"/>
        <rFont val="Arial"/>
        <family val="2"/>
      </rPr>
      <t>, sendo livre estimativa do licitante</t>
    </r>
  </si>
  <si>
    <r>
      <t xml:space="preserve">Substituto na cobertura de Ausência por Acidente de Trabalho </t>
    </r>
    <r>
      <rPr>
        <i/>
        <sz val="8"/>
        <color rgb="FFFF0000"/>
        <rFont val="Arial"/>
        <family val="2"/>
      </rPr>
      <t xml:space="preserve">(1/12)x0,0178x100. </t>
    </r>
    <r>
      <rPr>
        <sz val="10"/>
        <color rgb="FFFF0000"/>
        <rFont val="Arial"/>
        <family val="2"/>
      </rPr>
      <t xml:space="preserve"> </t>
    </r>
    <r>
      <rPr>
        <sz val="8"/>
        <color rgb="FFFF0000"/>
        <rFont val="Arial"/>
        <family val="2"/>
      </rPr>
      <t>Considerando uma estimativa de 1,78% dos empregados usufruindo 30 (trinta) dias de licença por ano, conforme STJ</t>
    </r>
    <r>
      <rPr>
        <sz val="10"/>
        <color rgb="FFFF0000"/>
        <rFont val="Arial"/>
        <family val="2"/>
      </rPr>
      <t>, sendo livre estimativa do licitante</t>
    </r>
  </si>
  <si>
    <r>
      <t xml:space="preserve">Substituto na cobertura de Afastamento Maternidade </t>
    </r>
    <r>
      <rPr>
        <i/>
        <sz val="8"/>
        <color rgb="FFFF0000"/>
        <rFont val="Arial"/>
        <family val="2"/>
      </rPr>
      <t>(11,11%x5,28%x50%), onde,  11,11% provisão de férias e 1/3 de férias, 5,28% porcentagem de empregadas afastadas, 50% - 6 meses de licença em 1 ano</t>
    </r>
    <r>
      <rPr>
        <sz val="10"/>
        <color rgb="FFFF0000"/>
        <rFont val="Arial"/>
        <family val="2"/>
      </rPr>
      <t>, sendo livre estimativa do licitante</t>
    </r>
  </si>
  <si>
    <t>Em relação ao item 4.1 conforme Doutrinador João Luiz Domingues, nas planilhas de custo com conta vinculada é inaplicável a previsão adicional de substituto em férias, pois a despesa já está devidamente suportada no percentual de 12,10%.</t>
  </si>
  <si>
    <t>Empregado Residente</t>
  </si>
  <si>
    <t>Empregado Repositor</t>
  </si>
  <si>
    <t>Adicional de Férias</t>
  </si>
  <si>
    <t>Subtotal</t>
  </si>
  <si>
    <t>Portanto, a partir da informação extraída da tabela anterior, pode-se afirmar que o custeio das férias e do respectivo adicional para os empregados residente e repositor é de 12,04%.</t>
  </si>
  <si>
    <t>Dessa forma, ao provisionarmos o percentual estabelecido pelo Manual da Conta Vinculada no Submódulo 2.1, 12,10%, não se faz necessário efetuar qualquer previsão no Submódulo 4.1.</t>
  </si>
  <si>
    <t>http://www.licitacaoecontrato.com.br/lecComenta/o-desencontro-entre-norma-e-pratica-o-caso-da-in-07-2018-e-as-ferias-11022022.html</t>
  </si>
  <si>
    <t>Carrinho de limpeza</t>
  </si>
  <si>
    <t>Kg</t>
  </si>
  <si>
    <t>Valor total do contrato para 60 meses</t>
  </si>
  <si>
    <r>
      <t xml:space="preserve">Prestação de serviço de jardinagem </t>
    </r>
    <r>
      <rPr>
        <sz val="10"/>
        <color rgb="FFFF0000"/>
        <rFont val="Arial"/>
        <family val="2"/>
      </rPr>
      <t>(sob  demanda)</t>
    </r>
  </si>
  <si>
    <t>Cloro granulado para utilização no espelho d'agua</t>
  </si>
  <si>
    <t>Aux.  Odontológico</t>
  </si>
  <si>
    <r>
      <rPr>
        <i/>
        <sz val="10"/>
        <color rgb="FF000000"/>
        <rFont val="Arial"/>
        <family val="2"/>
      </rPr>
      <t>Aux.  Odontológico</t>
    </r>
    <r>
      <rPr>
        <i/>
        <sz val="10"/>
        <color rgb="FFFF0000"/>
        <rFont val="Arial"/>
        <family val="2"/>
      </rPr>
      <t xml:space="preserve"> </t>
    </r>
    <r>
      <rPr>
        <i/>
        <sz val="8"/>
        <color rgb="FFFF0000"/>
        <rFont val="Arial"/>
        <family val="2"/>
      </rPr>
      <t>(ver CCT e preencher campos em amarelo na aba Mód 2.3)</t>
    </r>
  </si>
  <si>
    <t>Inseticida/raticida para controle de pragas - Desinsetização / Desratização / Dedetização(previsto 4 litros por dedetização, 2 dedetizações por ano)</t>
  </si>
  <si>
    <t>Especificação dos Equipamentos, Ferramentas e Acessórios para dedetização</t>
  </si>
  <si>
    <t>Pulverizador Costal</t>
  </si>
  <si>
    <t>Materias já inclusos no custos de limpeza</t>
  </si>
  <si>
    <t>Materias  já inclusos no custos de limpeza</t>
  </si>
  <si>
    <r>
      <t xml:space="preserve">Controle de pragas - Desinsetização / Desratização / Dedetização - </t>
    </r>
    <r>
      <rPr>
        <sz val="10"/>
        <color rgb="FFFF0000"/>
        <rFont val="Arial"/>
        <family val="2"/>
      </rPr>
      <t>(sob  demanda)</t>
    </r>
  </si>
  <si>
    <t>Descrição</t>
  </si>
  <si>
    <t>60 meses</t>
  </si>
  <si>
    <t>Relógio Eletrônico de Ponto Biométrico</t>
  </si>
  <si>
    <t>Papel térmico compatível com o relógio biométrico de ponto;</t>
  </si>
  <si>
    <t>No-break com autonimia mínima de 4 horas e compatível com o relógio biométrico de ponto;</t>
  </si>
  <si>
    <t>Link de internet de titularidade da contratada, para conectar o relógio biométrico de ponto.</t>
  </si>
  <si>
    <t>Valor mensal por terceirizado - Equipamento depreciado em 60 meses, dividido pelo numero de terceirizados contratados</t>
  </si>
  <si>
    <t>Controle de pragas</t>
  </si>
  <si>
    <t>Remanejamento de Equipamentos e móveis</t>
  </si>
  <si>
    <t>Jardinagem</t>
  </si>
  <si>
    <r>
      <rPr>
        <b/>
        <sz val="10"/>
        <rFont val="Arial"/>
        <family val="2"/>
      </rPr>
      <t>PAPEL TOALHA</t>
    </r>
    <r>
      <rPr>
        <sz val="10"/>
        <rFont val="Arial"/>
        <family val="2"/>
      </rPr>
      <t xml:space="preserve"> em bobina de aproximadamente 20 cm de largura x </t>
    </r>
    <r>
      <rPr>
        <b/>
        <sz val="10"/>
        <rFont val="Arial"/>
        <family val="2"/>
      </rPr>
      <t>200metros</t>
    </r>
    <r>
      <rPr>
        <sz val="10"/>
        <rFont val="Arial"/>
        <family val="2"/>
      </rPr>
      <t xml:space="preserve"> . (Composição: 100% Fibras Naturais. Tipo: Folha Simples. Metragem: 200m/rolo. Cor: Extra Branco) (De qualidade igual ou superior ao "Papel Toalha Elite Plus Simples Dupla da marca Elite Professional").</t>
    </r>
  </si>
  <si>
    <r>
      <rPr>
        <b/>
        <sz val="10"/>
        <rFont val="Arial"/>
        <family val="2"/>
      </rPr>
      <t>SABONETE LÍQUIDO PERFUMADO</t>
    </r>
    <r>
      <rPr>
        <sz val="10"/>
        <rFont val="Arial"/>
        <family val="2"/>
      </rPr>
      <t>. (</t>
    </r>
    <r>
      <rPr>
        <b/>
        <sz val="10"/>
        <rFont val="Arial"/>
        <family val="2"/>
      </rPr>
      <t>Embalagem: 5 litros</t>
    </r>
    <r>
      <rPr>
        <sz val="10"/>
        <rFont val="Arial"/>
        <family val="2"/>
      </rPr>
      <t xml:space="preserve">. Fragrância: erva doce. Material: Sabonete Viscoso. PH: 6,0 - 8,0.) </t>
    </r>
  </si>
  <si>
    <t>Dispenser para papel toalha com sistema autocortante (compativel com o papel fornecido)</t>
  </si>
  <si>
    <t>Respirador Descartável Concha, Classe PFF-2 (S) com Carvão Ativado Clipe Nasal Acoplado (com qualidade igual ou superior ao Respirador Descartável Concha 3M™ 8023, Carvão Ativado, CA: 9626. Eficaz para proteção contra poeiras, névoas, fumos e alívio de odores incômodos provenientes de Vapores Orgânicos. Especificações Atendidas: ABNT NBR 13698).</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</si>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</sst>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4" formatCode="_-&quot;R$&quot;\ * #,##0.00_-;\-&quot;R$&quot;\ * #,##0.00_-;_-&quot;R$&quot;\ * &quot;-&quot;??_-;_-@_-"/>
    <numFmt numFmtId="43" formatCode="_-* #,##0.00_-;\-* #,##0.00_-;_-* &quot;-&quot;??_-;_-@_-"/>
    <numFmt numFmtId="164" formatCode="_(&quot;R$ &quot;* #,##0.00_);_(&quot;R$ &quot;* \(#,##0.00\);_(&quot;R$ &quot;* &quot;-&quot;??_);_(@_)"/>
    <numFmt numFmtId="165" formatCode="_-* #,##0_-;\-* #,##0_-;_-* &quot;-&quot;??_-;_-@_-"/>
    <numFmt numFmtId="166" formatCode="0.0000"/>
    <numFmt numFmtId="167" formatCode="#,##0.00\ ;&quot; (&quot;#,##0.00\);&quot; -&quot;#\ ;@\ "/>
    <numFmt numFmtId="168" formatCode="0.0000%"/>
    <numFmt numFmtId="169" formatCode="&quot;R$&quot;\ #,##0.00"/>
    <numFmt numFmtId="170" formatCode="0.00000%"/>
    <numFmt numFmtId="171" formatCode="0.000%"/>
    <numFmt numFmtId="172" formatCode="&quot;R$&quot;\ #,##0.0000"/>
    <numFmt numFmtId="173" formatCode="&quot;R$&quot;\ #,##0.000000"/>
    <numFmt numFmtId="174" formatCode="0.000"/>
  </numFmts>
  <fonts count="58" x14ac:knownFonts="1">
    <font>
      <sz val="10"/>
      <name val="Arial"/>
      <family val="2"/>
    </font>
    <font>
      <sz val="10"/>
      <name val="Arial"/>
      <family val="2"/>
    </font>
    <font>
      <b/>
      <sz val="10"/>
      <name val="Arial"/>
      <family val="2"/>
    </font>
    <font>
      <sz val="8"/>
      <name val="Arial"/>
      <family val="2"/>
    </font>
    <font>
      <sz val="10"/>
      <color indexed="10"/>
      <name val="Arial"/>
      <family val="2"/>
    </font>
    <font>
      <sz val="10"/>
      <color rgb="FFFF0000"/>
      <name val="Arial"/>
      <family val="2"/>
    </font>
    <font>
      <b/>
      <sz val="10"/>
      <color rgb="FFFF0000"/>
      <name val="Arial"/>
      <family val="2"/>
    </font>
    <font>
      <b/>
      <sz val="9"/>
      <name val="Arial"/>
      <family val="2"/>
    </font>
    <font>
      <u/>
      <sz val="10"/>
      <name val="Arial"/>
      <family val="2"/>
    </font>
    <font>
      <sz val="11"/>
      <name val="Arial"/>
      <family val="2"/>
    </font>
    <font>
      <i/>
      <sz val="10"/>
      <name val="Arial"/>
      <family val="2"/>
    </font>
    <font>
      <b/>
      <i/>
      <sz val="10"/>
      <name val="Arial"/>
      <family val="2"/>
    </font>
    <font>
      <b/>
      <sz val="10"/>
      <color rgb="FF00B050"/>
      <name val="Arial"/>
      <family val="2"/>
    </font>
    <font>
      <b/>
      <sz val="10"/>
      <color rgb="FF0000FF"/>
      <name val="Arial"/>
      <family val="2"/>
    </font>
    <font>
      <b/>
      <sz val="11"/>
      <color theme="1"/>
      <name val="Calibri"/>
      <family val="2"/>
      <scheme val="minor"/>
    </font>
    <font>
      <sz val="9"/>
      <name val="Arial"/>
      <family val="2"/>
    </font>
    <font>
      <u/>
      <sz val="10"/>
      <color indexed="12"/>
      <name val="Arial"/>
      <family val="2"/>
    </font>
    <font>
      <b/>
      <sz val="10.5"/>
      <name val="Arial"/>
      <family val="2"/>
    </font>
    <font>
      <sz val="9.5"/>
      <name val="Arial"/>
      <family val="2"/>
    </font>
    <font>
      <b/>
      <u/>
      <sz val="10"/>
      <name val="Arial"/>
      <family val="2"/>
    </font>
    <font>
      <i/>
      <sz val="10"/>
      <color rgb="FFFF0000"/>
      <name val="Arial"/>
      <family val="2"/>
    </font>
    <font>
      <b/>
      <sz val="9"/>
      <color rgb="FF0000FF"/>
      <name val="Arial"/>
      <family val="2"/>
    </font>
    <font>
      <b/>
      <sz val="9"/>
      <color rgb="FF00B050"/>
      <name val="Arial"/>
      <family val="2"/>
    </font>
    <font>
      <i/>
      <sz val="9"/>
      <color rgb="FFFF0000"/>
      <name val="Arial"/>
      <family val="2"/>
    </font>
    <font>
      <b/>
      <i/>
      <sz val="9"/>
      <name val="Arial"/>
      <family val="2"/>
    </font>
    <font>
      <b/>
      <sz val="9.5"/>
      <name val="Arial"/>
      <family val="2"/>
    </font>
    <font>
      <b/>
      <strike/>
      <sz val="10"/>
      <name val="Arial"/>
      <family val="2"/>
    </font>
    <font>
      <strike/>
      <sz val="10"/>
      <name val="Arial"/>
      <family val="2"/>
    </font>
    <font>
      <i/>
      <sz val="8"/>
      <color rgb="FFFF0000"/>
      <name val="Arial"/>
      <family val="2"/>
    </font>
    <font>
      <i/>
      <u/>
      <sz val="8"/>
      <color rgb="FFFF0000"/>
      <name val="Arial"/>
      <family val="2"/>
    </font>
    <font>
      <sz val="8"/>
      <color rgb="FFFF0000"/>
      <name val="Arial"/>
      <family val="2"/>
    </font>
    <font>
      <sz val="10"/>
      <color rgb="FF0000FF"/>
      <name val="Arial"/>
      <family val="2"/>
    </font>
    <font>
      <u/>
      <sz val="10"/>
      <color theme="10"/>
      <name val="Arial"/>
      <family val="2"/>
    </font>
    <font>
      <sz val="10"/>
      <color rgb="FF444444"/>
      <name val="Arial"/>
      <family val="2"/>
    </font>
    <font>
      <sz val="12"/>
      <color rgb="FF444444"/>
      <name val="Arial"/>
      <family val="2"/>
    </font>
    <font>
      <b/>
      <sz val="10"/>
      <color rgb="FF444444"/>
      <name val="Arial"/>
      <family val="2"/>
    </font>
    <font>
      <b/>
      <sz val="12"/>
      <color rgb="FF444444"/>
      <name val="Arial"/>
      <family val="2"/>
    </font>
    <font>
      <b/>
      <sz val="10"/>
      <color rgb="FF000000"/>
      <name val="Arial"/>
      <family val="2"/>
    </font>
    <font>
      <b/>
      <sz val="24"/>
      <color rgb="FF474747"/>
      <name val="Roboto"/>
    </font>
    <font>
      <sz val="11"/>
      <color rgb="FF000000"/>
      <name val="Raleway"/>
    </font>
    <font>
      <i/>
      <sz val="12"/>
      <color rgb="FF444444"/>
      <name val="Arial"/>
      <family val="2"/>
    </font>
    <font>
      <sz val="10"/>
      <name val="Calibri"/>
      <family val="2"/>
      <scheme val="minor"/>
    </font>
    <font>
      <b/>
      <sz val="10"/>
      <name val="Calibri"/>
      <family val="2"/>
      <scheme val="minor"/>
    </font>
    <font>
      <sz val="9"/>
      <name val="Calibri"/>
      <family val="2"/>
      <scheme val="minor"/>
    </font>
    <font>
      <u/>
      <sz val="9"/>
      <color indexed="12"/>
      <name val="Calibri"/>
      <family val="2"/>
      <scheme val="minor"/>
    </font>
    <font>
      <sz val="10"/>
      <color rgb="FF000000"/>
      <name val="Arial"/>
      <family val="2"/>
    </font>
    <font>
      <u/>
      <sz val="9"/>
      <color indexed="12"/>
      <name val="Arial"/>
      <family val="2"/>
    </font>
    <font>
      <sz val="12"/>
      <name val="Arial"/>
      <family val="2"/>
    </font>
    <font>
      <sz val="14"/>
      <color theme="1"/>
      <name val="Calibri"/>
      <family val="2"/>
      <scheme val="minor"/>
    </font>
    <font>
      <b/>
      <sz val="12"/>
      <color rgb="FF0000FF"/>
      <name val="Arial"/>
      <family val="2"/>
    </font>
    <font>
      <b/>
      <sz val="12"/>
      <name val="Arial"/>
      <family val="2"/>
    </font>
    <font>
      <i/>
      <sz val="10"/>
      <color rgb="FF000000"/>
      <name val="Arial"/>
      <family val="2"/>
    </font>
    <font>
      <sz val="10"/>
      <color theme="1"/>
      <name val="Arial"/>
      <family val="2"/>
    </font>
    <font>
      <b/>
      <sz val="9"/>
      <color theme="1"/>
      <name val="Arial"/>
      <family val="2"/>
    </font>
    <font>
      <b/>
      <sz val="11"/>
      <name val="Arial"/>
      <family val="2"/>
    </font>
    <font>
      <sz val="10"/>
      <color rgb="FF000000"/>
      <name val="Calibri"/>
      <family val="2"/>
    </font>
    <font>
      <sz val="7"/>
      <name val="Segoe UI"/>
      <family val="2"/>
    </font>
    <font>
      <sz val="11"/>
      <color rgb="FF000000"/>
      <name val="Calibri"/>
      <family val="2"/>
      <charset val="1"/>
    </font>
  </fonts>
  <fills count="21">
    <fill>
      <patternFill patternType="none"/>
    </fill>
    <fill>
      <patternFill patternType="gray125"/>
    </fill>
    <fill>
      <patternFill patternType="solid">
        <fgColor theme="0"/>
        <bgColor indexed="31"/>
      </patternFill>
    </fill>
    <fill>
      <patternFill patternType="solid">
        <fgColor theme="0"/>
        <bgColor indexed="64"/>
      </patternFill>
    </fill>
    <fill>
      <patternFill patternType="solid">
        <fgColor theme="0" tint="-0.14999847407452621"/>
        <bgColor indexed="64"/>
      </patternFill>
    </fill>
    <fill>
      <patternFill patternType="solid">
        <fgColor theme="0" tint="-0.14999847407452621"/>
        <bgColor indexed="31"/>
      </patternFill>
    </fill>
    <fill>
      <patternFill patternType="solid">
        <fgColor indexed="22"/>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rgb="FFFFFF00"/>
        <bgColor indexed="64"/>
      </patternFill>
    </fill>
    <fill>
      <patternFill patternType="solid">
        <fgColor rgb="FFFF0000"/>
        <bgColor indexed="64"/>
      </patternFill>
    </fill>
    <fill>
      <patternFill patternType="solid">
        <fgColor theme="4" tint="0.59999389629810485"/>
        <bgColor indexed="64"/>
      </patternFill>
    </fill>
    <fill>
      <patternFill patternType="solid">
        <fgColor rgb="FFA8D08D"/>
        <bgColor indexed="64"/>
      </patternFill>
    </fill>
    <fill>
      <patternFill patternType="solid">
        <fgColor rgb="FFC5E0B3"/>
        <bgColor indexed="64"/>
      </patternFill>
    </fill>
    <fill>
      <patternFill patternType="solid">
        <fgColor theme="3" tint="0.59999389629810485"/>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rgb="FFFFC000"/>
        <bgColor indexed="64"/>
      </patternFill>
    </fill>
    <fill>
      <patternFill patternType="solid">
        <fgColor theme="8" tint="0.39997558519241921"/>
        <bgColor indexed="64"/>
      </patternFill>
    </fill>
    <fill>
      <patternFill patternType="solid">
        <fgColor theme="4" tint="0.79998168889431442"/>
        <bgColor indexed="64"/>
      </patternFill>
    </fill>
  </fills>
  <borders count="81">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top/>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
      <left style="thin">
        <color rgb="FF000000"/>
      </left>
      <right style="thin">
        <color rgb="FF000000"/>
      </right>
      <top style="thin">
        <color rgb="FF000000"/>
      </top>
      <bottom style="thin">
        <color rgb="FF000000"/>
      </bottom>
      <diagonal/>
    </border>
    <border>
      <left/>
      <right style="medium">
        <color indexed="64"/>
      </right>
      <top style="thin">
        <color indexed="64"/>
      </top>
      <bottom style="thin">
        <color indexed="64"/>
      </bottom>
      <diagonal/>
    </border>
    <border>
      <left/>
      <right style="thin">
        <color rgb="FF000000"/>
      </right>
      <top style="thin">
        <color rgb="FF000000"/>
      </top>
      <bottom style="thin">
        <color rgb="FF000000"/>
      </bottom>
      <diagonal/>
    </border>
    <border>
      <left/>
      <right style="thin">
        <color indexed="64"/>
      </right>
      <top style="medium">
        <color indexed="64"/>
      </top>
      <bottom style="thin">
        <color indexed="64"/>
      </bottom>
      <diagonal/>
    </border>
    <border>
      <left style="thin">
        <color indexed="64"/>
      </left>
      <right/>
      <top style="medium">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indexed="64"/>
      </left>
      <right style="thin">
        <color indexed="64"/>
      </right>
      <top style="medium">
        <color indexed="64"/>
      </top>
      <bottom style="thin">
        <color rgb="FF000000"/>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11">
    <xf numFmtId="0" fontId="0" fillId="0" borderId="0"/>
    <xf numFmtId="164" fontId="1" fillId="0" borderId="0" applyFill="0" applyBorder="0" applyAlignment="0" applyProtection="0"/>
    <xf numFmtId="9" fontId="1" fillId="0" borderId="0" applyFill="0" applyBorder="0" applyAlignment="0" applyProtection="0"/>
    <xf numFmtId="43" fontId="1" fillId="0" borderId="0" applyFont="0" applyFill="0" applyBorder="0" applyAlignment="0" applyProtection="0"/>
    <xf numFmtId="0" fontId="16" fillId="0" borderId="0" applyNumberFormat="0" applyFill="0" applyBorder="0" applyAlignment="0" applyProtection="0">
      <alignment vertical="top"/>
      <protection locked="0"/>
    </xf>
    <xf numFmtId="167" fontId="1" fillId="0" borderId="0" applyFill="0" applyBorder="0" applyAlignment="0" applyProtection="0"/>
    <xf numFmtId="0" fontId="32" fillId="0" borderId="0" applyNumberForma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57" fillId="0" borderId="0"/>
  </cellStyleXfs>
  <cellXfs count="787">
    <xf numFmtId="0" fontId="0" fillId="0" borderId="0" xfId="0"/>
    <xf numFmtId="10" fontId="0" fillId="0" borderId="1" xfId="0" applyNumberFormat="1" applyBorder="1" applyAlignment="1">
      <alignment horizontal="center"/>
    </xf>
    <xf numFmtId="10" fontId="1" fillId="0" borderId="1" xfId="2" applyNumberFormat="1" applyBorder="1" applyAlignment="1">
      <alignment horizontal="center"/>
    </xf>
    <xf numFmtId="0" fontId="2" fillId="0" borderId="0" xfId="0" applyFont="1" applyAlignment="1">
      <alignment horizontal="center"/>
    </xf>
    <xf numFmtId="2" fontId="2" fillId="0" borderId="0" xfId="0" applyNumberFormat="1" applyFont="1"/>
    <xf numFmtId="10" fontId="1" fillId="0" borderId="1" xfId="2" applyNumberFormat="1" applyFill="1" applyBorder="1" applyAlignment="1">
      <alignment horizontal="center"/>
    </xf>
    <xf numFmtId="10" fontId="1" fillId="0" borderId="1" xfId="2" applyNumberFormat="1" applyBorder="1" applyAlignment="1"/>
    <xf numFmtId="2" fontId="0" fillId="0" borderId="0" xfId="0" applyNumberFormat="1"/>
    <xf numFmtId="0" fontId="2" fillId="0" borderId="1" xfId="0" applyFont="1" applyBorder="1" applyAlignment="1">
      <alignment horizontal="center"/>
    </xf>
    <xf numFmtId="164" fontId="2" fillId="0" borderId="0" xfId="1" applyFont="1"/>
    <xf numFmtId="0" fontId="2" fillId="0" borderId="0" xfId="0" applyFont="1"/>
    <xf numFmtId="0" fontId="6" fillId="0" borderId="32" xfId="0" applyFont="1" applyBorder="1" applyAlignment="1">
      <alignment horizontal="center"/>
    </xf>
    <xf numFmtId="10" fontId="6" fillId="0" borderId="33" xfId="2" applyNumberFormat="1" applyFont="1" applyBorder="1" applyAlignment="1"/>
    <xf numFmtId="2" fontId="6" fillId="0" borderId="34" xfId="0" applyNumberFormat="1" applyFont="1" applyBorder="1"/>
    <xf numFmtId="0" fontId="6" fillId="0" borderId="35" xfId="0" applyFont="1" applyBorder="1" applyAlignment="1">
      <alignment horizontal="center"/>
    </xf>
    <xf numFmtId="10" fontId="6" fillId="0" borderId="0" xfId="2" applyNumberFormat="1" applyFont="1" applyBorder="1" applyAlignment="1"/>
    <xf numFmtId="2" fontId="6" fillId="0" borderId="36" xfId="0" applyNumberFormat="1" applyFont="1" applyBorder="1"/>
    <xf numFmtId="0" fontId="5" fillId="0" borderId="35" xfId="0" applyFont="1" applyBorder="1"/>
    <xf numFmtId="0" fontId="6" fillId="0" borderId="22" xfId="0" applyFont="1" applyBorder="1" applyAlignment="1">
      <alignment horizontal="center"/>
    </xf>
    <xf numFmtId="10" fontId="6" fillId="0" borderId="23" xfId="2" applyNumberFormat="1" applyFont="1" applyBorder="1" applyAlignment="1"/>
    <xf numFmtId="2" fontId="6" fillId="0" borderId="24" xfId="0" applyNumberFormat="1" applyFont="1" applyBorder="1"/>
    <xf numFmtId="43" fontId="0" fillId="0" borderId="0" xfId="0" applyNumberFormat="1"/>
    <xf numFmtId="0" fontId="0" fillId="0" borderId="1" xfId="0" applyBorder="1"/>
    <xf numFmtId="0" fontId="0" fillId="0" borderId="1" xfId="0" applyBorder="1" applyAlignment="1">
      <alignment horizontal="center"/>
    </xf>
    <xf numFmtId="10" fontId="0" fillId="3" borderId="1" xfId="0" applyNumberFormat="1" applyFill="1" applyBorder="1" applyAlignment="1">
      <alignment horizontal="center"/>
    </xf>
    <xf numFmtId="2" fontId="0" fillId="0" borderId="1" xfId="0" applyNumberFormat="1" applyBorder="1"/>
    <xf numFmtId="2" fontId="2" fillId="0" borderId="1" xfId="0" applyNumberFormat="1" applyFont="1" applyBorder="1"/>
    <xf numFmtId="2" fontId="0" fillId="0" borderId="1" xfId="0" applyNumberFormat="1" applyBorder="1" applyAlignment="1">
      <alignment horizontal="right"/>
    </xf>
    <xf numFmtId="0" fontId="2" fillId="2" borderId="1" xfId="0" applyFont="1" applyFill="1" applyBorder="1" applyAlignment="1">
      <alignment horizontal="center"/>
    </xf>
    <xf numFmtId="10" fontId="0" fillId="0" borderId="1" xfId="0" applyNumberFormat="1" applyBorder="1"/>
    <xf numFmtId="2" fontId="0" fillId="0" borderId="1" xfId="0" applyNumberFormat="1" applyBorder="1" applyAlignment="1">
      <alignment horizontal="center"/>
    </xf>
    <xf numFmtId="0" fontId="5" fillId="0" borderId="0" xfId="0" applyFont="1" applyAlignment="1">
      <alignment horizontal="center"/>
    </xf>
    <xf numFmtId="0" fontId="5" fillId="0" borderId="0" xfId="0" applyFont="1"/>
    <xf numFmtId="164" fontId="5" fillId="0" borderId="0" xfId="1" applyFont="1"/>
    <xf numFmtId="0" fontId="2" fillId="4" borderId="1" xfId="0" applyFont="1" applyFill="1" applyBorder="1" applyAlignment="1">
      <alignment horizontal="center"/>
    </xf>
    <xf numFmtId="0" fontId="6" fillId="0" borderId="0" xfId="0" applyFont="1" applyAlignment="1">
      <alignment horizontal="left"/>
    </xf>
    <xf numFmtId="0" fontId="0" fillId="0" borderId="1" xfId="0" applyBorder="1" applyAlignment="1">
      <alignment horizontal="center" vertical="center"/>
    </xf>
    <xf numFmtId="0" fontId="0" fillId="0" borderId="0" xfId="0" applyAlignment="1">
      <alignment horizontal="left" vertical="center"/>
    </xf>
    <xf numFmtId="0" fontId="2" fillId="0" borderId="0" xfId="0" applyFont="1" applyAlignment="1">
      <alignment horizontal="left" vertical="center"/>
    </xf>
    <xf numFmtId="0" fontId="0" fillId="0" borderId="0" xfId="0" applyAlignment="1">
      <alignment horizontal="center" wrapText="1"/>
    </xf>
    <xf numFmtId="0" fontId="0" fillId="0" borderId="0" xfId="0" applyAlignment="1">
      <alignment horizontal="center" vertical="center" wrapText="1"/>
    </xf>
    <xf numFmtId="0" fontId="0" fillId="0" borderId="0" xfId="0" applyAlignment="1">
      <alignment horizontal="center" vertical="center"/>
    </xf>
    <xf numFmtId="10" fontId="2" fillId="4" borderId="1" xfId="0" applyNumberFormat="1" applyFont="1" applyFill="1" applyBorder="1" applyAlignment="1">
      <alignment horizontal="center"/>
    </xf>
    <xf numFmtId="2" fontId="2" fillId="4" borderId="1" xfId="0" applyNumberFormat="1" applyFont="1" applyFill="1" applyBorder="1"/>
    <xf numFmtId="10" fontId="2" fillId="0" borderId="0" xfId="0" applyNumberFormat="1" applyFont="1" applyAlignment="1">
      <alignment horizontal="center"/>
    </xf>
    <xf numFmtId="0" fontId="2" fillId="0" borderId="23" xfId="0" applyFont="1" applyBorder="1"/>
    <xf numFmtId="0" fontId="2" fillId="0" borderId="1" xfId="0" applyFont="1" applyBorder="1"/>
    <xf numFmtId="0" fontId="2" fillId="0" borderId="1" xfId="0" applyFont="1" applyBorder="1" applyAlignment="1">
      <alignment horizontal="center" vertical="center"/>
    </xf>
    <xf numFmtId="0" fontId="2" fillId="4" borderId="1" xfId="0" applyFont="1" applyFill="1" applyBorder="1"/>
    <xf numFmtId="0" fontId="2" fillId="4" borderId="1" xfId="0" applyFont="1" applyFill="1" applyBorder="1" applyAlignment="1">
      <alignment horizontal="center" vertical="center"/>
    </xf>
    <xf numFmtId="0" fontId="0" fillId="0" borderId="0" xfId="0" applyAlignment="1">
      <alignment vertical="center"/>
    </xf>
    <xf numFmtId="0" fontId="2" fillId="0" borderId="39" xfId="0" applyFont="1" applyBorder="1"/>
    <xf numFmtId="0" fontId="3" fillId="0" borderId="0" xfId="0" applyFont="1" applyAlignment="1">
      <alignment vertical="center"/>
    </xf>
    <xf numFmtId="0" fontId="2" fillId="0" borderId="0" xfId="0" applyFont="1" applyAlignment="1">
      <alignment vertical="center"/>
    </xf>
    <xf numFmtId="10" fontId="1" fillId="4" borderId="1" xfId="2" applyNumberFormat="1" applyFill="1" applyBorder="1" applyAlignment="1"/>
    <xf numFmtId="0" fontId="9" fillId="0" borderId="0" xfId="0" applyFont="1" applyAlignment="1">
      <alignment vertical="center"/>
    </xf>
    <xf numFmtId="0" fontId="2" fillId="0" borderId="1" xfId="0" applyFont="1" applyBorder="1" applyAlignment="1">
      <alignment horizontal="center" vertical="center" wrapText="1"/>
    </xf>
    <xf numFmtId="0" fontId="0" fillId="0" borderId="25" xfId="0" applyBorder="1" applyAlignment="1">
      <alignment vertical="center"/>
    </xf>
    <xf numFmtId="0" fontId="0" fillId="0" borderId="32" xfId="0" applyBorder="1" applyAlignment="1">
      <alignment vertical="center"/>
    </xf>
    <xf numFmtId="0" fontId="0" fillId="0" borderId="33" xfId="0" applyBorder="1"/>
    <xf numFmtId="0" fontId="0" fillId="0" borderId="22" xfId="0" applyBorder="1" applyAlignment="1">
      <alignment vertical="center"/>
    </xf>
    <xf numFmtId="0" fontId="0" fillId="0" borderId="23" xfId="0" applyBorder="1"/>
    <xf numFmtId="0" fontId="0" fillId="0" borderId="11" xfId="0" applyBorder="1"/>
    <xf numFmtId="10" fontId="2" fillId="0" borderId="0" xfId="2" applyNumberFormat="1" applyFont="1"/>
    <xf numFmtId="0" fontId="2" fillId="4" borderId="21" xfId="0" applyFont="1" applyFill="1" applyBorder="1"/>
    <xf numFmtId="0" fontId="0" fillId="4" borderId="19" xfId="0" applyFill="1" applyBorder="1"/>
    <xf numFmtId="2" fontId="2" fillId="4" borderId="13" xfId="0" applyNumberFormat="1" applyFont="1" applyFill="1" applyBorder="1"/>
    <xf numFmtId="0" fontId="11" fillId="0" borderId="0" xfId="0" applyFont="1" applyAlignment="1">
      <alignment vertical="center"/>
    </xf>
    <xf numFmtId="0" fontId="0" fillId="0" borderId="37" xfId="0" applyBorder="1"/>
    <xf numFmtId="0" fontId="0" fillId="0" borderId="41" xfId="0" applyBorder="1"/>
    <xf numFmtId="0" fontId="2" fillId="0" borderId="37" xfId="0" applyFont="1" applyBorder="1"/>
    <xf numFmtId="2" fontId="0" fillId="0" borderId="41" xfId="0" applyNumberFormat="1" applyBorder="1"/>
    <xf numFmtId="2" fontId="2" fillId="0" borderId="41" xfId="0" applyNumberFormat="1" applyFont="1" applyBorder="1"/>
    <xf numFmtId="10" fontId="2" fillId="0" borderId="41" xfId="2" applyNumberFormat="1" applyFont="1" applyBorder="1"/>
    <xf numFmtId="0" fontId="2" fillId="0" borderId="0" xfId="2" applyNumberFormat="1" applyFont="1" applyBorder="1"/>
    <xf numFmtId="165" fontId="2" fillId="0" borderId="41" xfId="3" applyNumberFormat="1" applyFont="1" applyBorder="1"/>
    <xf numFmtId="0" fontId="2" fillId="0" borderId="21" xfId="0" applyFont="1" applyBorder="1"/>
    <xf numFmtId="0" fontId="0" fillId="0" borderId="19" xfId="0" applyBorder="1"/>
    <xf numFmtId="0" fontId="0" fillId="0" borderId="13" xfId="0" applyBorder="1" applyAlignment="1">
      <alignment horizontal="center" vertical="center"/>
    </xf>
    <xf numFmtId="2" fontId="2" fillId="4" borderId="13" xfId="0" applyNumberFormat="1" applyFont="1" applyFill="1" applyBorder="1" applyAlignment="1">
      <alignment horizontal="center" vertical="center"/>
    </xf>
    <xf numFmtId="0" fontId="2" fillId="0" borderId="40" xfId="0" applyFont="1" applyBorder="1" applyAlignment="1">
      <alignment horizontal="center" vertical="center"/>
    </xf>
    <xf numFmtId="0" fontId="10" fillId="0" borderId="0" xfId="0" applyFont="1"/>
    <xf numFmtId="0" fontId="2" fillId="4" borderId="19" xfId="0" applyFont="1" applyFill="1" applyBorder="1"/>
    <xf numFmtId="0" fontId="0" fillId="0" borderId="21" xfId="0" applyBorder="1"/>
    <xf numFmtId="2" fontId="2" fillId="4" borderId="10" xfId="0" applyNumberFormat="1" applyFont="1" applyFill="1" applyBorder="1" applyAlignment="1">
      <alignment horizontal="center" vertical="center"/>
    </xf>
    <xf numFmtId="2" fontId="2" fillId="0" borderId="41" xfId="2" applyNumberFormat="1" applyFont="1" applyBorder="1"/>
    <xf numFmtId="0" fontId="19" fillId="0" borderId="0" xfId="0" applyFont="1"/>
    <xf numFmtId="10" fontId="1" fillId="0" borderId="0" xfId="2" applyNumberFormat="1"/>
    <xf numFmtId="0" fontId="2" fillId="3" borderId="0" xfId="0" applyFont="1" applyFill="1"/>
    <xf numFmtId="0" fontId="2" fillId="0" borderId="19" xfId="0" applyFont="1" applyBorder="1"/>
    <xf numFmtId="2" fontId="2" fillId="0" borderId="13" xfId="0" applyNumberFormat="1" applyFont="1" applyBorder="1"/>
    <xf numFmtId="0" fontId="0" fillId="0" borderId="27" xfId="0" applyBorder="1"/>
    <xf numFmtId="0" fontId="0" fillId="0" borderId="27" xfId="0" quotePrefix="1" applyBorder="1"/>
    <xf numFmtId="2" fontId="0" fillId="0" borderId="4" xfId="0" applyNumberFormat="1" applyBorder="1"/>
    <xf numFmtId="2" fontId="0" fillId="0" borderId="4" xfId="0" applyNumberFormat="1" applyBorder="1" applyAlignment="1">
      <alignment vertical="center"/>
    </xf>
    <xf numFmtId="0" fontId="0" fillId="0" borderId="26" xfId="0" applyBorder="1"/>
    <xf numFmtId="0" fontId="0" fillId="0" borderId="56" xfId="0" applyBorder="1"/>
    <xf numFmtId="0" fontId="0" fillId="0" borderId="58" xfId="0" applyBorder="1"/>
    <xf numFmtId="0" fontId="0" fillId="0" borderId="57" xfId="0" applyBorder="1"/>
    <xf numFmtId="0" fontId="0" fillId="0" borderId="30" xfId="0" applyBorder="1"/>
    <xf numFmtId="0" fontId="0" fillId="0" borderId="31" xfId="0" applyBorder="1"/>
    <xf numFmtId="0" fontId="0" fillId="0" borderId="49" xfId="0" applyBorder="1"/>
    <xf numFmtId="0" fontId="2" fillId="0" borderId="56" xfId="0" applyFont="1" applyBorder="1" applyAlignment="1">
      <alignment horizontal="center" vertical="center"/>
    </xf>
    <xf numFmtId="0" fontId="2" fillId="0" borderId="58" xfId="0" applyFont="1" applyBorder="1" applyAlignment="1">
      <alignment horizontal="center" vertical="center"/>
    </xf>
    <xf numFmtId="0" fontId="2" fillId="0" borderId="57" xfId="0" applyFont="1" applyBorder="1" applyAlignment="1">
      <alignment horizontal="center" vertical="center"/>
    </xf>
    <xf numFmtId="10" fontId="2" fillId="0" borderId="0" xfId="0" applyNumberFormat="1" applyFont="1"/>
    <xf numFmtId="0" fontId="0" fillId="0" borderId="27" xfId="0" applyBorder="1" applyAlignment="1">
      <alignment horizontal="left" vertical="center"/>
    </xf>
    <xf numFmtId="0" fontId="0" fillId="0" borderId="0" xfId="0" quotePrefix="1" applyAlignment="1">
      <alignment horizontal="center" vertical="center"/>
    </xf>
    <xf numFmtId="0" fontId="2" fillId="0" borderId="41" xfId="0" applyFont="1" applyBorder="1"/>
    <xf numFmtId="0" fontId="2" fillId="0" borderId="59" xfId="0" applyFont="1" applyBorder="1" applyAlignment="1">
      <alignment horizontal="center" vertical="center"/>
    </xf>
    <xf numFmtId="0" fontId="0" fillId="0" borderId="59" xfId="0" applyBorder="1"/>
    <xf numFmtId="2" fontId="0" fillId="0" borderId="59" xfId="0" applyNumberFormat="1" applyBorder="1"/>
    <xf numFmtId="0" fontId="2" fillId="0" borderId="60" xfId="0" applyFont="1" applyBorder="1" applyAlignment="1">
      <alignment horizontal="center" vertical="center"/>
    </xf>
    <xf numFmtId="2" fontId="2" fillId="0" borderId="18" xfId="0" applyNumberFormat="1" applyFont="1" applyBorder="1"/>
    <xf numFmtId="0" fontId="0" fillId="0" borderId="18" xfId="0" applyBorder="1"/>
    <xf numFmtId="0" fontId="2" fillId="0" borderId="37" xfId="0" applyFont="1" applyBorder="1" applyAlignment="1">
      <alignment horizontal="center" vertical="center"/>
    </xf>
    <xf numFmtId="0" fontId="7" fillId="4" borderId="21" xfId="0" applyFont="1" applyFill="1" applyBorder="1"/>
    <xf numFmtId="2" fontId="0" fillId="0" borderId="18" xfId="0" applyNumberFormat="1" applyBorder="1"/>
    <xf numFmtId="166" fontId="0" fillId="0" borderId="0" xfId="0" applyNumberFormat="1"/>
    <xf numFmtId="166" fontId="2" fillId="4" borderId="13" xfId="0" applyNumberFormat="1" applyFont="1" applyFill="1" applyBorder="1" applyAlignment="1">
      <alignment horizontal="center" vertical="center"/>
    </xf>
    <xf numFmtId="0" fontId="9" fillId="0" borderId="0" xfId="0" applyFont="1"/>
    <xf numFmtId="0" fontId="0" fillId="0" borderId="0" xfId="0" applyAlignment="1">
      <alignment vertical="top" wrapText="1"/>
    </xf>
    <xf numFmtId="2" fontId="0" fillId="0" borderId="13" xfId="0" applyNumberFormat="1" applyBorder="1" applyAlignment="1">
      <alignment horizontal="center" vertical="center"/>
    </xf>
    <xf numFmtId="2" fontId="2" fillId="0" borderId="13" xfId="0" applyNumberFormat="1" applyFont="1" applyBorder="1" applyAlignment="1">
      <alignment horizontal="center" vertical="center"/>
    </xf>
    <xf numFmtId="0" fontId="0" fillId="0" borderId="49" xfId="0" applyBorder="1" applyAlignment="1">
      <alignment horizontal="center" vertical="center"/>
    </xf>
    <xf numFmtId="0" fontId="2" fillId="0" borderId="21" xfId="0" applyFont="1" applyBorder="1" applyAlignment="1">
      <alignment horizontal="left" vertical="center"/>
    </xf>
    <xf numFmtId="0" fontId="0" fillId="10" borderId="4" xfId="0" applyFill="1" applyBorder="1" applyAlignment="1">
      <alignment horizontal="center" vertical="center"/>
    </xf>
    <xf numFmtId="2" fontId="0" fillId="10" borderId="4" xfId="0" applyNumberFormat="1" applyFill="1" applyBorder="1" applyAlignment="1">
      <alignment horizontal="center" vertical="center"/>
    </xf>
    <xf numFmtId="2" fontId="13" fillId="4" borderId="1" xfId="0" applyNumberFormat="1" applyFont="1" applyFill="1" applyBorder="1"/>
    <xf numFmtId="170" fontId="0" fillId="10" borderId="4" xfId="0" applyNumberFormat="1" applyFill="1" applyBorder="1" applyAlignment="1">
      <alignment horizontal="center" vertical="center"/>
    </xf>
    <xf numFmtId="168" fontId="0" fillId="10" borderId="4" xfId="0" applyNumberFormat="1" applyFill="1" applyBorder="1" applyAlignment="1">
      <alignment horizontal="center" vertical="center"/>
    </xf>
    <xf numFmtId="0" fontId="0" fillId="10" borderId="7" xfId="0" applyFill="1" applyBorder="1" applyAlignment="1">
      <alignment horizontal="center" vertical="center"/>
    </xf>
    <xf numFmtId="9" fontId="0" fillId="10" borderId="16" xfId="0" applyNumberFormat="1" applyFill="1" applyBorder="1"/>
    <xf numFmtId="9" fontId="0" fillId="10" borderId="18" xfId="0" applyNumberFormat="1" applyFill="1" applyBorder="1"/>
    <xf numFmtId="0" fontId="2" fillId="10" borderId="16" xfId="0" applyFont="1" applyFill="1" applyBorder="1" applyAlignment="1">
      <alignment horizontal="center" vertical="center"/>
    </xf>
    <xf numFmtId="0" fontId="2" fillId="10" borderId="17" xfId="0" applyFont="1" applyFill="1" applyBorder="1" applyAlignment="1">
      <alignment horizontal="center" vertical="center"/>
    </xf>
    <xf numFmtId="0" fontId="2" fillId="10" borderId="18" xfId="0" applyFont="1" applyFill="1" applyBorder="1" applyAlignment="1">
      <alignment horizontal="center" vertical="center"/>
    </xf>
    <xf numFmtId="2" fontId="2" fillId="0" borderId="43" xfId="0" applyNumberFormat="1" applyFont="1" applyBorder="1" applyAlignment="1">
      <alignment horizontal="center" vertical="center"/>
    </xf>
    <xf numFmtId="2" fontId="2" fillId="0" borderId="18" xfId="0" applyNumberFormat="1" applyFont="1" applyBorder="1" applyAlignment="1">
      <alignment horizontal="center" vertical="center"/>
    </xf>
    <xf numFmtId="0" fontId="2" fillId="11" borderId="13" xfId="0" applyFont="1" applyFill="1" applyBorder="1" applyAlignment="1">
      <alignment horizontal="center" vertical="center"/>
    </xf>
    <xf numFmtId="0" fontId="2" fillId="10" borderId="13" xfId="0" applyFont="1" applyFill="1" applyBorder="1" applyAlignment="1">
      <alignment horizontal="center" vertical="center"/>
    </xf>
    <xf numFmtId="166" fontId="2" fillId="10" borderId="16" xfId="0" applyNumberFormat="1" applyFont="1" applyFill="1" applyBorder="1" applyAlignment="1">
      <alignment horizontal="center" vertical="center"/>
    </xf>
    <xf numFmtId="166" fontId="0" fillId="10" borderId="17" xfId="0" applyNumberFormat="1" applyFill="1" applyBorder="1" applyAlignment="1">
      <alignment horizontal="center" vertical="center"/>
    </xf>
    <xf numFmtId="166" fontId="2" fillId="10" borderId="17" xfId="0" applyNumberFormat="1" applyFont="1" applyFill="1" applyBorder="1" applyAlignment="1">
      <alignment horizontal="center" vertical="center"/>
    </xf>
    <xf numFmtId="0" fontId="0" fillId="10" borderId="18" xfId="0" applyFill="1" applyBorder="1" applyAlignment="1">
      <alignment horizontal="center" vertical="center"/>
    </xf>
    <xf numFmtId="166" fontId="2" fillId="0" borderId="10" xfId="0" applyNumberFormat="1" applyFont="1" applyBorder="1"/>
    <xf numFmtId="0" fontId="26" fillId="0" borderId="0" xfId="0" applyFont="1" applyAlignment="1">
      <alignment vertical="center"/>
    </xf>
    <xf numFmtId="0" fontId="27" fillId="0" borderId="0" xfId="0" applyFont="1"/>
    <xf numFmtId="0" fontId="26" fillId="0" borderId="0" xfId="0" applyFont="1"/>
    <xf numFmtId="2" fontId="27" fillId="0" borderId="0" xfId="0" applyNumberFormat="1" applyFont="1"/>
    <xf numFmtId="2" fontId="26" fillId="0" borderId="0" xfId="0" applyNumberFormat="1" applyFont="1"/>
    <xf numFmtId="0" fontId="27" fillId="0" borderId="21" xfId="0" applyFont="1" applyBorder="1"/>
    <xf numFmtId="0" fontId="27" fillId="0" borderId="19" xfId="0" applyFont="1" applyBorder="1"/>
    <xf numFmtId="0" fontId="27" fillId="0" borderId="13" xfId="0" applyFont="1" applyBorder="1" applyAlignment="1">
      <alignment horizontal="center" vertical="center"/>
    </xf>
    <xf numFmtId="0" fontId="27" fillId="0" borderId="0" xfId="0" applyFont="1" applyAlignment="1">
      <alignment horizontal="center" vertical="center"/>
    </xf>
    <xf numFmtId="0" fontId="26" fillId="4" borderId="21" xfId="0" applyFont="1" applyFill="1" applyBorder="1"/>
    <xf numFmtId="0" fontId="26" fillId="4" borderId="19" xfId="0" applyFont="1" applyFill="1" applyBorder="1"/>
    <xf numFmtId="2" fontId="26" fillId="4" borderId="13" xfId="0" applyNumberFormat="1" applyFont="1" applyFill="1" applyBorder="1"/>
    <xf numFmtId="166" fontId="2" fillId="0" borderId="13" xfId="0" applyNumberFormat="1" applyFont="1" applyBorder="1" applyAlignment="1">
      <alignment horizontal="center" vertical="center"/>
    </xf>
    <xf numFmtId="0" fontId="16" fillId="0" borderId="0" xfId="4" applyAlignment="1" applyProtection="1"/>
    <xf numFmtId="10" fontId="0" fillId="0" borderId="1" xfId="0" applyNumberFormat="1" applyBorder="1" applyAlignment="1">
      <alignment horizontal="center" vertical="center"/>
    </xf>
    <xf numFmtId="2" fontId="0" fillId="0" borderId="1" xfId="0" applyNumberFormat="1" applyBorder="1" applyAlignment="1">
      <alignment vertical="center"/>
    </xf>
    <xf numFmtId="0" fontId="0" fillId="0" borderId="0" xfId="0" applyAlignment="1">
      <alignment horizontal="left" vertical="top" wrapText="1"/>
    </xf>
    <xf numFmtId="171" fontId="1" fillId="0" borderId="0" xfId="2" applyNumberFormat="1"/>
    <xf numFmtId="4" fontId="0" fillId="0" borderId="1" xfId="0" applyNumberFormat="1" applyBorder="1"/>
    <xf numFmtId="4" fontId="2" fillId="4" borderId="1" xfId="0" applyNumberFormat="1" applyFont="1" applyFill="1" applyBorder="1"/>
    <xf numFmtId="2" fontId="0" fillId="0" borderId="1" xfId="0" applyNumberFormat="1" applyBorder="1" applyAlignment="1">
      <alignment horizontal="right" vertical="center"/>
    </xf>
    <xf numFmtId="10" fontId="2" fillId="0" borderId="1" xfId="0" applyNumberFormat="1" applyFont="1" applyBorder="1" applyAlignment="1">
      <alignment horizontal="center"/>
    </xf>
    <xf numFmtId="0" fontId="7" fillId="0" borderId="1" xfId="0" applyFont="1" applyBorder="1" applyAlignment="1">
      <alignment horizontal="left"/>
    </xf>
    <xf numFmtId="0" fontId="0" fillId="0" borderId="0" xfId="0" applyAlignment="1">
      <alignment horizontal="left"/>
    </xf>
    <xf numFmtId="0" fontId="2" fillId="0" borderId="0" xfId="0" applyFont="1" applyAlignment="1">
      <alignment horizontal="left"/>
    </xf>
    <xf numFmtId="10" fontId="1" fillId="0" borderId="1" xfId="0" applyNumberFormat="1" applyFont="1" applyBorder="1" applyAlignment="1">
      <alignment horizontal="center" vertical="center"/>
    </xf>
    <xf numFmtId="10" fontId="1" fillId="0" borderId="1" xfId="0" applyNumberFormat="1" applyFont="1" applyBorder="1" applyAlignment="1">
      <alignment horizontal="center"/>
    </xf>
    <xf numFmtId="166" fontId="0" fillId="0" borderId="1" xfId="0" applyNumberFormat="1" applyBorder="1" applyAlignment="1">
      <alignment horizontal="center" vertical="center"/>
    </xf>
    <xf numFmtId="2" fontId="13" fillId="0" borderId="1" xfId="0" applyNumberFormat="1" applyFont="1" applyBorder="1" applyAlignment="1">
      <alignment horizontal="center" vertical="center"/>
    </xf>
    <xf numFmtId="2" fontId="0" fillId="10" borderId="4" xfId="0" applyNumberFormat="1" applyFill="1" applyBorder="1"/>
    <xf numFmtId="9" fontId="1" fillId="10" borderId="4" xfId="2" applyFill="1" applyBorder="1" applyAlignment="1">
      <alignment horizontal="center" vertical="center"/>
    </xf>
    <xf numFmtId="0" fontId="34" fillId="0" borderId="0" xfId="0" applyFont="1" applyAlignment="1">
      <alignment horizontal="justify" vertical="center" wrapText="1"/>
    </xf>
    <xf numFmtId="0" fontId="35" fillId="13" borderId="64" xfId="0" applyFont="1" applyFill="1" applyBorder="1" applyAlignment="1">
      <alignment horizontal="center" vertical="center" wrapText="1"/>
    </xf>
    <xf numFmtId="0" fontId="37" fillId="13" borderId="65" xfId="0" applyFont="1" applyFill="1" applyBorder="1" applyAlignment="1">
      <alignment horizontal="center" vertical="center" wrapText="1"/>
    </xf>
    <xf numFmtId="0" fontId="33" fillId="0" borderId="66" xfId="0" applyFont="1" applyBorder="1" applyAlignment="1">
      <alignment horizontal="center" vertical="center" wrapText="1"/>
    </xf>
    <xf numFmtId="10" fontId="33" fillId="0" borderId="67" xfId="0" applyNumberFormat="1" applyFont="1" applyBorder="1" applyAlignment="1">
      <alignment horizontal="center" vertical="center" wrapText="1"/>
    </xf>
    <xf numFmtId="0" fontId="37" fillId="14" borderId="66" xfId="0" applyFont="1" applyFill="1" applyBorder="1" applyAlignment="1">
      <alignment horizontal="center" vertical="center" wrapText="1"/>
    </xf>
    <xf numFmtId="10" fontId="37" fillId="14" borderId="67" xfId="0" applyNumberFormat="1" applyFont="1" applyFill="1" applyBorder="1" applyAlignment="1">
      <alignment horizontal="center" vertical="center" wrapText="1"/>
    </xf>
    <xf numFmtId="0" fontId="2" fillId="0" borderId="0" xfId="0" applyFont="1" applyAlignment="1">
      <alignment horizontal="center" vertical="center"/>
    </xf>
    <xf numFmtId="9" fontId="0" fillId="10" borderId="4" xfId="0" applyNumberFormat="1" applyFill="1" applyBorder="1" applyAlignment="1">
      <alignment horizontal="center" vertical="center"/>
    </xf>
    <xf numFmtId="0" fontId="15" fillId="0" borderId="1" xfId="0" applyFont="1" applyBorder="1" applyAlignment="1">
      <alignment horizontal="center" vertical="center" wrapText="1"/>
    </xf>
    <xf numFmtId="0" fontId="15" fillId="6" borderId="1" xfId="0" applyFont="1" applyFill="1" applyBorder="1" applyAlignment="1">
      <alignment horizontal="center" vertical="center" wrapText="1"/>
    </xf>
    <xf numFmtId="0" fontId="15" fillId="0" borderId="46" xfId="0" applyFont="1" applyBorder="1" applyAlignment="1">
      <alignment horizontal="center" vertical="center"/>
    </xf>
    <xf numFmtId="0" fontId="15" fillId="0" borderId="46" xfId="0" applyFont="1" applyBorder="1" applyAlignment="1">
      <alignment horizontal="center" vertical="center" wrapText="1"/>
    </xf>
    <xf numFmtId="0" fontId="17" fillId="6" borderId="5" xfId="0" applyFont="1" applyFill="1" applyBorder="1" applyAlignment="1">
      <alignment horizontal="center" vertical="center" wrapText="1"/>
    </xf>
    <xf numFmtId="0" fontId="17" fillId="6" borderId="1" xfId="0" applyFont="1" applyFill="1" applyBorder="1" applyAlignment="1">
      <alignment horizontal="center" vertical="center"/>
    </xf>
    <xf numFmtId="0" fontId="17" fillId="6" borderId="4" xfId="0" applyFont="1" applyFill="1" applyBorder="1" applyAlignment="1">
      <alignment horizontal="center" vertical="center"/>
    </xf>
    <xf numFmtId="0" fontId="15" fillId="6" borderId="8" xfId="0" applyFont="1" applyFill="1" applyBorder="1" applyAlignment="1">
      <alignment horizontal="center" vertical="center"/>
    </xf>
    <xf numFmtId="0" fontId="0" fillId="0" borderId="0" xfId="0" applyAlignment="1">
      <alignment horizontal="right" vertical="center"/>
    </xf>
    <xf numFmtId="0" fontId="15" fillId="6" borderId="5" xfId="0" applyFont="1" applyFill="1" applyBorder="1" applyAlignment="1">
      <alignment horizontal="center" vertical="center"/>
    </xf>
    <xf numFmtId="4" fontId="1" fillId="0" borderId="1" xfId="0" applyNumberFormat="1" applyFont="1" applyBorder="1" applyAlignment="1">
      <alignment horizontal="center" vertical="center" wrapText="1"/>
    </xf>
    <xf numFmtId="2" fontId="15" fillId="6" borderId="50" xfId="0" applyNumberFormat="1" applyFont="1" applyFill="1" applyBorder="1" applyAlignment="1">
      <alignment horizontal="center" vertical="center"/>
    </xf>
    <xf numFmtId="2" fontId="15" fillId="6" borderId="51" xfId="0" applyNumberFormat="1" applyFont="1" applyFill="1" applyBorder="1" applyAlignment="1">
      <alignment horizontal="center" vertical="center"/>
    </xf>
    <xf numFmtId="2" fontId="15" fillId="6" borderId="52" xfId="0" applyNumberFormat="1" applyFont="1" applyFill="1" applyBorder="1" applyAlignment="1">
      <alignment horizontal="center" vertical="center"/>
    </xf>
    <xf numFmtId="0" fontId="0" fillId="0" borderId="0" xfId="0" applyAlignment="1">
      <alignment horizontal="center"/>
    </xf>
    <xf numFmtId="0" fontId="2" fillId="0" borderId="27" xfId="0" applyFont="1" applyBorder="1" applyAlignment="1">
      <alignment horizontal="center" vertical="justify" wrapText="1"/>
    </xf>
    <xf numFmtId="0" fontId="2" fillId="6" borderId="27" xfId="0" applyFont="1" applyFill="1" applyBorder="1" applyAlignment="1">
      <alignment horizontal="center" vertical="justify" wrapText="1"/>
    </xf>
    <xf numFmtId="0" fontId="2" fillId="0" borderId="38" xfId="0" applyFont="1" applyBorder="1" applyAlignment="1">
      <alignment horizontal="center" vertical="justify" wrapText="1"/>
    </xf>
    <xf numFmtId="0" fontId="15" fillId="0" borderId="0" xfId="0" applyFont="1" applyAlignment="1">
      <alignment horizontal="right" vertical="center"/>
    </xf>
    <xf numFmtId="0" fontId="2" fillId="0" borderId="5" xfId="0" applyFont="1" applyBorder="1" applyAlignment="1">
      <alignment horizontal="center" vertical="justify" wrapText="1"/>
    </xf>
    <xf numFmtId="0" fontId="2" fillId="6" borderId="5" xfId="0" applyFont="1" applyFill="1" applyBorder="1" applyAlignment="1">
      <alignment horizontal="center" vertical="justify" wrapText="1"/>
    </xf>
    <xf numFmtId="0" fontId="2" fillId="0" borderId="47" xfId="0" applyFont="1" applyBorder="1" applyAlignment="1">
      <alignment horizontal="center" vertical="justify" wrapText="1"/>
    </xf>
    <xf numFmtId="0" fontId="15" fillId="0" borderId="61" xfId="0" applyFont="1" applyBorder="1" applyAlignment="1">
      <alignment horizontal="center" vertical="center"/>
    </xf>
    <xf numFmtId="0" fontId="15" fillId="0" borderId="61" xfId="0" applyFont="1" applyBorder="1" applyAlignment="1">
      <alignment horizontal="center" vertical="center" wrapText="1"/>
    </xf>
    <xf numFmtId="0" fontId="18" fillId="6" borderId="47" xfId="0" applyFont="1" applyFill="1" applyBorder="1" applyAlignment="1">
      <alignment horizontal="center" vertical="center" wrapText="1"/>
    </xf>
    <xf numFmtId="0" fontId="18" fillId="6" borderId="61" xfId="0" applyFont="1" applyFill="1" applyBorder="1" applyAlignment="1">
      <alignment horizontal="center" vertical="center" wrapText="1"/>
    </xf>
    <xf numFmtId="0" fontId="18" fillId="6" borderId="48" xfId="0" applyFont="1" applyFill="1" applyBorder="1" applyAlignment="1">
      <alignment horizontal="center" vertical="center" wrapText="1"/>
    </xf>
    <xf numFmtId="0" fontId="15" fillId="6" borderId="1" xfId="0" applyFont="1" applyFill="1" applyBorder="1" applyAlignment="1">
      <alignment horizontal="center" vertical="center"/>
    </xf>
    <xf numFmtId="10" fontId="0" fillId="10" borderId="4" xfId="0" applyNumberFormat="1" applyFill="1" applyBorder="1" applyAlignment="1">
      <alignment horizontal="center" vertical="center"/>
    </xf>
    <xf numFmtId="4" fontId="0" fillId="0" borderId="1" xfId="0" applyNumberFormat="1" applyBorder="1" applyAlignment="1">
      <alignment horizontal="center" vertical="center" wrapText="1"/>
    </xf>
    <xf numFmtId="1" fontId="15" fillId="10" borderId="1" xfId="0" applyNumberFormat="1" applyFont="1" applyFill="1" applyBorder="1" applyAlignment="1">
      <alignment horizontal="center" vertical="center" wrapText="1"/>
    </xf>
    <xf numFmtId="0" fontId="7" fillId="0" borderId="0" xfId="0" applyFont="1" applyAlignment="1">
      <alignment horizontal="center" vertical="center"/>
    </xf>
    <xf numFmtId="2" fontId="2" fillId="0" borderId="0" xfId="0" applyNumberFormat="1" applyFont="1" applyAlignment="1">
      <alignment horizontal="center"/>
    </xf>
    <xf numFmtId="0" fontId="15" fillId="0" borderId="0" xfId="0" applyFont="1" applyAlignment="1">
      <alignment horizontal="center" vertical="center"/>
    </xf>
    <xf numFmtId="4" fontId="15" fillId="0" borderId="0" xfId="0" applyNumberFormat="1" applyFont="1" applyAlignment="1">
      <alignment horizontal="center" vertical="center"/>
    </xf>
    <xf numFmtId="2" fontId="15" fillId="0" borderId="0" xfId="0" applyNumberFormat="1" applyFont="1" applyAlignment="1">
      <alignment horizontal="center" vertical="center"/>
    </xf>
    <xf numFmtId="2" fontId="7" fillId="0" borderId="0" xfId="0" applyNumberFormat="1" applyFont="1" applyAlignment="1">
      <alignment horizontal="center" vertical="center"/>
    </xf>
    <xf numFmtId="0" fontId="0" fillId="0" borderId="0" xfId="0" applyAlignment="1">
      <alignment horizontal="left" vertical="center" wrapText="1"/>
    </xf>
    <xf numFmtId="0" fontId="38" fillId="0" borderId="0" xfId="0" applyFont="1" applyAlignment="1">
      <alignment vertical="center"/>
    </xf>
    <xf numFmtId="0" fontId="39" fillId="0" borderId="0" xfId="0" applyFont="1" applyAlignment="1">
      <alignment wrapText="1"/>
    </xf>
    <xf numFmtId="44" fontId="0" fillId="0" borderId="0" xfId="0" applyNumberFormat="1"/>
    <xf numFmtId="44" fontId="0" fillId="0" borderId="41" xfId="0" applyNumberFormat="1" applyBorder="1"/>
    <xf numFmtId="44" fontId="7" fillId="0" borderId="0" xfId="0" applyNumberFormat="1" applyFont="1" applyAlignment="1">
      <alignment horizontal="center" vertical="center"/>
    </xf>
    <xf numFmtId="0" fontId="36" fillId="0" borderId="0" xfId="0" applyFont="1" applyAlignment="1">
      <alignment horizontal="center" vertical="center" wrapText="1"/>
    </xf>
    <xf numFmtId="0" fontId="2" fillId="0" borderId="0" xfId="0" applyFont="1" applyAlignment="1">
      <alignment horizontal="left" wrapText="1"/>
    </xf>
    <xf numFmtId="0" fontId="0" fillId="0" borderId="0" xfId="0" applyAlignment="1">
      <alignment wrapText="1"/>
    </xf>
    <xf numFmtId="0" fontId="0" fillId="0" borderId="1" xfId="0" applyBorder="1" applyAlignment="1">
      <alignment horizontal="center" vertical="center" wrapText="1"/>
    </xf>
    <xf numFmtId="0" fontId="42" fillId="6" borderId="2" xfId="0" applyFont="1" applyFill="1" applyBorder="1" applyAlignment="1">
      <alignment horizontal="center" vertical="center" wrapText="1"/>
    </xf>
    <xf numFmtId="0" fontId="43" fillId="6" borderId="45" xfId="0" applyFont="1" applyFill="1" applyBorder="1" applyAlignment="1">
      <alignment horizontal="center" vertical="center" wrapText="1"/>
    </xf>
    <xf numFmtId="0" fontId="42" fillId="0" borderId="5" xfId="0" applyFont="1" applyBorder="1" applyAlignment="1">
      <alignment horizontal="center" vertical="center" wrapText="1"/>
    </xf>
    <xf numFmtId="0" fontId="43" fillId="0" borderId="1" xfId="0" applyFont="1" applyBorder="1" applyAlignment="1">
      <alignment horizontal="center" vertical="center" wrapText="1"/>
    </xf>
    <xf numFmtId="0" fontId="42" fillId="6" borderId="5" xfId="0" applyFont="1" applyFill="1" applyBorder="1" applyAlignment="1">
      <alignment horizontal="center" vertical="center" wrapText="1"/>
    </xf>
    <xf numFmtId="0" fontId="43" fillId="6" borderId="1" xfId="0" applyFont="1" applyFill="1" applyBorder="1" applyAlignment="1">
      <alignment horizontal="center" vertical="center" wrapText="1"/>
    </xf>
    <xf numFmtId="0" fontId="42" fillId="7" borderId="5" xfId="0" applyFont="1" applyFill="1" applyBorder="1" applyAlignment="1">
      <alignment horizontal="center" vertical="center" wrapText="1"/>
    </xf>
    <xf numFmtId="0" fontId="43" fillId="7" borderId="1" xfId="0" applyFont="1" applyFill="1" applyBorder="1" applyAlignment="1">
      <alignment horizontal="center" vertical="center" wrapText="1"/>
    </xf>
    <xf numFmtId="0" fontId="42" fillId="0" borderId="6" xfId="0" applyFont="1" applyBorder="1" applyAlignment="1">
      <alignment horizontal="center" vertical="center" wrapText="1"/>
    </xf>
    <xf numFmtId="0" fontId="43" fillId="0" borderId="46" xfId="0" applyFont="1" applyBorder="1" applyAlignment="1">
      <alignment horizontal="center" vertical="center"/>
    </xf>
    <xf numFmtId="0" fontId="43" fillId="0" borderId="46" xfId="0" applyFont="1" applyBorder="1" applyAlignment="1">
      <alignment horizontal="center" vertical="center" wrapText="1"/>
    </xf>
    <xf numFmtId="0" fontId="42" fillId="6" borderId="2" xfId="0" applyFont="1" applyFill="1" applyBorder="1" applyAlignment="1">
      <alignment horizontal="center" vertical="justify" wrapText="1"/>
    </xf>
    <xf numFmtId="0" fontId="42" fillId="0" borderId="5" xfId="0" applyFont="1" applyBorder="1" applyAlignment="1">
      <alignment horizontal="center" vertical="justify" wrapText="1"/>
    </xf>
    <xf numFmtId="0" fontId="42" fillId="6" borderId="5" xfId="0" applyFont="1" applyFill="1" applyBorder="1" applyAlignment="1">
      <alignment horizontal="center" vertical="justify" wrapText="1"/>
    </xf>
    <xf numFmtId="0" fontId="42" fillId="6" borderId="53" xfId="0" applyFont="1" applyFill="1" applyBorder="1" applyAlignment="1">
      <alignment horizontal="center" vertical="justify" wrapText="1"/>
    </xf>
    <xf numFmtId="0" fontId="42" fillId="0" borderId="27" xfId="0" applyFont="1" applyBorder="1" applyAlignment="1">
      <alignment horizontal="center" vertical="justify" wrapText="1"/>
    </xf>
    <xf numFmtId="0" fontId="42" fillId="6" borderId="27" xfId="0" applyFont="1" applyFill="1" applyBorder="1" applyAlignment="1">
      <alignment horizontal="center" vertical="justify" wrapText="1"/>
    </xf>
    <xf numFmtId="0" fontId="43" fillId="6" borderId="1" xfId="0" applyFont="1" applyFill="1" applyBorder="1" applyAlignment="1">
      <alignment horizontal="center" vertical="center"/>
    </xf>
    <xf numFmtId="0" fontId="1" fillId="0" borderId="0" xfId="0" applyFont="1" applyAlignment="1">
      <alignment horizontal="center"/>
    </xf>
    <xf numFmtId="0" fontId="1" fillId="0" borderId="0" xfId="0" applyFont="1" applyAlignment="1">
      <alignment horizontal="left"/>
    </xf>
    <xf numFmtId="0" fontId="1" fillId="0" borderId="1" xfId="0" applyFont="1" applyBorder="1" applyAlignment="1">
      <alignment horizontal="center"/>
    </xf>
    <xf numFmtId="0" fontId="1" fillId="0" borderId="1" xfId="0" applyFont="1" applyBorder="1" applyAlignment="1">
      <alignment horizontal="center" vertical="center"/>
    </xf>
    <xf numFmtId="0" fontId="1" fillId="0" borderId="0" xfId="0" applyFont="1" applyAlignment="1">
      <alignment horizontal="center" wrapText="1"/>
    </xf>
    <xf numFmtId="0" fontId="1" fillId="0" borderId="0" xfId="0" applyFont="1" applyAlignment="1">
      <alignment horizontal="center" vertical="center" wrapText="1"/>
    </xf>
    <xf numFmtId="0" fontId="1" fillId="0" borderId="0" xfId="0" applyFont="1" applyAlignment="1">
      <alignment horizontal="center" vertical="center"/>
    </xf>
    <xf numFmtId="14" fontId="1" fillId="0" borderId="0" xfId="0" applyNumberFormat="1" applyFont="1" applyAlignment="1">
      <alignment horizontal="center"/>
    </xf>
    <xf numFmtId="2" fontId="1" fillId="0" borderId="1" xfId="0" applyNumberFormat="1" applyFont="1" applyBorder="1"/>
    <xf numFmtId="0" fontId="1" fillId="0" borderId="0" xfId="0" applyFont="1"/>
    <xf numFmtId="43" fontId="0" fillId="0" borderId="0" xfId="0" applyNumberFormat="1" applyAlignment="1">
      <alignment horizontal="center" vertical="center"/>
    </xf>
    <xf numFmtId="0" fontId="15" fillId="6" borderId="45" xfId="0" applyFont="1" applyFill="1" applyBorder="1" applyAlignment="1">
      <alignment horizontal="center" vertical="center" wrapText="1"/>
    </xf>
    <xf numFmtId="0" fontId="15" fillId="6" borderId="9" xfId="0" applyFont="1" applyFill="1" applyBorder="1" applyAlignment="1">
      <alignment horizontal="center" vertical="center"/>
    </xf>
    <xf numFmtId="4" fontId="1" fillId="0" borderId="9" xfId="0" applyNumberFormat="1" applyFont="1" applyBorder="1" applyAlignment="1">
      <alignment horizontal="center" vertical="center" wrapText="1"/>
    </xf>
    <xf numFmtId="0" fontId="15" fillId="0" borderId="1" xfId="0" applyFont="1" applyBorder="1" applyAlignment="1">
      <alignment horizontal="center" vertical="center"/>
    </xf>
    <xf numFmtId="2" fontId="0" fillId="0" borderId="0" xfId="0" applyNumberFormat="1" applyAlignment="1">
      <alignment horizontal="center" vertical="center"/>
    </xf>
    <xf numFmtId="171" fontId="1" fillId="0" borderId="0" xfId="2" applyNumberFormat="1" applyAlignment="1">
      <alignment horizontal="center" vertical="center"/>
    </xf>
    <xf numFmtId="164" fontId="2" fillId="0" borderId="0" xfId="1" applyFont="1" applyAlignment="1">
      <alignment horizontal="center" vertical="center"/>
    </xf>
    <xf numFmtId="43" fontId="2" fillId="0" borderId="0" xfId="0" applyNumberFormat="1" applyFont="1" applyAlignment="1">
      <alignment horizontal="center" vertical="center"/>
    </xf>
    <xf numFmtId="0" fontId="2" fillId="0" borderId="0" xfId="0" applyFont="1" applyAlignment="1">
      <alignment horizontal="center" vertical="center" wrapText="1"/>
    </xf>
    <xf numFmtId="0" fontId="2" fillId="0" borderId="0" xfId="0" applyFont="1" applyAlignment="1">
      <alignment horizontal="left" vertical="center" wrapText="1"/>
    </xf>
    <xf numFmtId="2" fontId="0" fillId="0" borderId="0" xfId="0" applyNumberFormat="1" applyAlignment="1">
      <alignment horizontal="left" vertical="center" wrapText="1"/>
    </xf>
    <xf numFmtId="169" fontId="0" fillId="0" borderId="0" xfId="0" applyNumberFormat="1"/>
    <xf numFmtId="0" fontId="0" fillId="0" borderId="0" xfId="0" applyAlignment="1">
      <alignment horizontal="justify" vertical="justify" wrapText="1"/>
    </xf>
    <xf numFmtId="0" fontId="0" fillId="0" borderId="0" xfId="0" applyAlignment="1">
      <alignment horizontal="justify" vertical="justify"/>
    </xf>
    <xf numFmtId="0" fontId="15" fillId="6" borderId="27" xfId="0" applyFont="1" applyFill="1" applyBorder="1" applyAlignment="1">
      <alignment horizontal="center" vertical="center"/>
    </xf>
    <xf numFmtId="0" fontId="15" fillId="6" borderId="53" xfId="0" applyFont="1" applyFill="1" applyBorder="1" applyAlignment="1">
      <alignment horizontal="center" vertical="center"/>
    </xf>
    <xf numFmtId="0" fontId="41" fillId="0" borderId="58" xfId="0" applyFont="1" applyBorder="1" applyAlignment="1">
      <alignment horizontal="center" vertical="center" wrapText="1"/>
    </xf>
    <xf numFmtId="0" fontId="41" fillId="0" borderId="57" xfId="0" applyFont="1" applyBorder="1" applyAlignment="1">
      <alignment horizontal="center" vertical="center" wrapText="1"/>
    </xf>
    <xf numFmtId="2" fontId="7" fillId="16" borderId="69" xfId="0" applyNumberFormat="1" applyFont="1" applyFill="1" applyBorder="1" applyAlignment="1">
      <alignment horizontal="center" vertical="center" wrapText="1"/>
    </xf>
    <xf numFmtId="2" fontId="7" fillId="16" borderId="54" xfId="0" applyNumberFormat="1" applyFont="1" applyFill="1" applyBorder="1" applyAlignment="1">
      <alignment horizontal="center" vertical="center" wrapText="1"/>
    </xf>
    <xf numFmtId="2" fontId="7" fillId="16" borderId="70" xfId="0" applyNumberFormat="1" applyFont="1" applyFill="1" applyBorder="1" applyAlignment="1">
      <alignment horizontal="center" vertical="center" wrapText="1"/>
    </xf>
    <xf numFmtId="2" fontId="7" fillId="16" borderId="71" xfId="0" applyNumberFormat="1" applyFont="1" applyFill="1" applyBorder="1" applyAlignment="1">
      <alignment horizontal="center" vertical="center" wrapText="1"/>
    </xf>
    <xf numFmtId="2" fontId="7" fillId="12" borderId="72" xfId="0" applyNumberFormat="1" applyFont="1" applyFill="1" applyBorder="1" applyAlignment="1">
      <alignment horizontal="center" vertical="center" wrapText="1"/>
    </xf>
    <xf numFmtId="2" fontId="7" fillId="12" borderId="3" xfId="0" applyNumberFormat="1" applyFont="1" applyFill="1" applyBorder="1" applyAlignment="1">
      <alignment horizontal="center" vertical="center" wrapText="1"/>
    </xf>
    <xf numFmtId="2" fontId="7" fillId="12" borderId="26" xfId="0" applyNumberFormat="1" applyFont="1" applyFill="1" applyBorder="1" applyAlignment="1">
      <alignment horizontal="center" vertical="center" wrapText="1"/>
    </xf>
    <xf numFmtId="2" fontId="7" fillId="12" borderId="4" xfId="0" applyNumberFormat="1" applyFont="1" applyFill="1" applyBorder="1" applyAlignment="1">
      <alignment horizontal="center" vertical="center" wrapText="1"/>
    </xf>
    <xf numFmtId="0" fontId="0" fillId="0" borderId="1" xfId="0" applyBorder="1" applyAlignment="1">
      <alignment horizontal="left" vertical="center" wrapText="1"/>
    </xf>
    <xf numFmtId="0" fontId="47" fillId="0" borderId="1" xfId="0" applyFont="1" applyBorder="1" applyAlignment="1">
      <alignment horizontal="center" vertical="center" wrapText="1"/>
    </xf>
    <xf numFmtId="169" fontId="0" fillId="0" borderId="1" xfId="0" applyNumberFormat="1" applyBorder="1" applyAlignment="1">
      <alignment horizontal="right" vertical="center"/>
    </xf>
    <xf numFmtId="0" fontId="0" fillId="0" borderId="1" xfId="0" quotePrefix="1" applyBorder="1" applyAlignment="1">
      <alignment horizontal="center" vertical="center" wrapText="1"/>
    </xf>
    <xf numFmtId="0" fontId="0" fillId="0" borderId="5" xfId="0" applyBorder="1" applyAlignment="1">
      <alignment horizontal="center" vertical="center"/>
    </xf>
    <xf numFmtId="2" fontId="0" fillId="0" borderId="1" xfId="0" applyNumberFormat="1" applyBorder="1" applyAlignment="1">
      <alignment horizontal="center" vertical="center"/>
    </xf>
    <xf numFmtId="43" fontId="0" fillId="0" borderId="1" xfId="0" applyNumberFormat="1" applyBorder="1" applyAlignment="1">
      <alignment horizontal="center" vertical="center"/>
    </xf>
    <xf numFmtId="0" fontId="2" fillId="0" borderId="2" xfId="0" applyFont="1" applyBorder="1" applyAlignment="1">
      <alignment horizontal="center" vertical="center" wrapText="1"/>
    </xf>
    <xf numFmtId="0" fontId="2" fillId="0" borderId="45" xfId="0" applyFont="1" applyBorder="1" applyAlignment="1">
      <alignment horizontal="center" vertical="center" wrapText="1"/>
    </xf>
    <xf numFmtId="0" fontId="14" fillId="0" borderId="45" xfId="0" applyFont="1" applyBorder="1" applyAlignment="1">
      <alignment horizontal="center" vertical="center" wrapText="1"/>
    </xf>
    <xf numFmtId="0" fontId="2" fillId="0" borderId="3" xfId="0" applyFont="1" applyBorder="1" applyAlignment="1">
      <alignment horizontal="center" vertical="center" wrapText="1"/>
    </xf>
    <xf numFmtId="169" fontId="0" fillId="0" borderId="4" xfId="0" applyNumberFormat="1" applyBorder="1" applyAlignment="1">
      <alignment horizontal="right" vertical="center"/>
    </xf>
    <xf numFmtId="0" fontId="0" fillId="0" borderId="46" xfId="0" applyBorder="1" applyAlignment="1">
      <alignment horizontal="center" vertical="center"/>
    </xf>
    <xf numFmtId="166" fontId="13" fillId="0" borderId="1" xfId="0" applyNumberFormat="1" applyFont="1" applyBorder="1" applyAlignment="1">
      <alignment horizontal="center" vertical="center"/>
    </xf>
    <xf numFmtId="0" fontId="47" fillId="9" borderId="31" xfId="0" applyFont="1" applyFill="1" applyBorder="1" applyAlignment="1">
      <alignment vertical="center"/>
    </xf>
    <xf numFmtId="0" fontId="47" fillId="0" borderId="0" xfId="0" applyFont="1" applyAlignment="1">
      <alignment vertical="center"/>
    </xf>
    <xf numFmtId="0" fontId="47" fillId="9" borderId="19" xfId="0" applyFont="1" applyFill="1" applyBorder="1" applyAlignment="1">
      <alignment vertical="center"/>
    </xf>
    <xf numFmtId="2" fontId="47" fillId="9" borderId="12" xfId="0" applyNumberFormat="1" applyFont="1" applyFill="1" applyBorder="1" applyAlignment="1">
      <alignment vertical="center"/>
    </xf>
    <xf numFmtId="0" fontId="5" fillId="0" borderId="0" xfId="0" applyFont="1" applyAlignment="1">
      <alignment horizontal="center" vertical="center" wrapText="1"/>
    </xf>
    <xf numFmtId="4" fontId="0" fillId="0" borderId="0" xfId="0" applyNumberFormat="1"/>
    <xf numFmtId="2" fontId="0" fillId="0" borderId="0" xfId="0" applyNumberFormat="1" applyAlignment="1">
      <alignment horizontal="right"/>
    </xf>
    <xf numFmtId="2" fontId="1" fillId="0" borderId="0" xfId="0" applyNumberFormat="1" applyFont="1"/>
    <xf numFmtId="14" fontId="0" fillId="0" borderId="0" xfId="0" applyNumberFormat="1" applyAlignment="1">
      <alignment horizontal="center"/>
    </xf>
    <xf numFmtId="169" fontId="1" fillId="0" borderId="0" xfId="1" applyNumberFormat="1" applyFill="1" applyBorder="1" applyAlignment="1">
      <alignment horizontal="center"/>
    </xf>
    <xf numFmtId="4" fontId="2" fillId="0" borderId="0" xfId="0" applyNumberFormat="1" applyFont="1"/>
    <xf numFmtId="2" fontId="0" fillId="0" borderId="0" xfId="0" applyNumberFormat="1" applyAlignment="1">
      <alignment vertical="center"/>
    </xf>
    <xf numFmtId="2" fontId="0" fillId="0" borderId="0" xfId="0" applyNumberFormat="1" applyAlignment="1">
      <alignment horizontal="right" vertical="center"/>
    </xf>
    <xf numFmtId="2" fontId="13" fillId="0" borderId="0" xfId="0" applyNumberFormat="1" applyFont="1"/>
    <xf numFmtId="2" fontId="0" fillId="0" borderId="0" xfId="0" applyNumberFormat="1" applyAlignment="1">
      <alignment horizontal="center"/>
    </xf>
    <xf numFmtId="0" fontId="0" fillId="10" borderId="11" xfId="0" applyFill="1" applyBorder="1" applyAlignment="1">
      <alignment vertical="center"/>
    </xf>
    <xf numFmtId="0" fontId="0" fillId="10" borderId="11" xfId="0" applyFill="1" applyBorder="1" applyAlignment="1">
      <alignment horizontal="right" vertical="center"/>
    </xf>
    <xf numFmtId="0" fontId="1" fillId="0" borderId="37" xfId="0" applyFont="1" applyBorder="1" applyAlignment="1">
      <alignment horizontal="center"/>
    </xf>
    <xf numFmtId="0" fontId="1" fillId="0" borderId="41" xfId="0" applyFont="1" applyBorder="1" applyAlignment="1">
      <alignment horizontal="center"/>
    </xf>
    <xf numFmtId="0" fontId="1" fillId="0" borderId="37" xfId="0" applyFont="1" applyBorder="1" applyAlignment="1">
      <alignment horizontal="left"/>
    </xf>
    <xf numFmtId="0" fontId="1" fillId="0" borderId="41" xfId="0" applyFont="1" applyBorder="1" applyAlignment="1">
      <alignment horizontal="left"/>
    </xf>
    <xf numFmtId="0" fontId="2" fillId="4" borderId="4" xfId="0" applyFont="1" applyFill="1" applyBorder="1" applyAlignment="1">
      <alignment horizontal="center"/>
    </xf>
    <xf numFmtId="0" fontId="1" fillId="0" borderId="5" xfId="0" applyFont="1" applyBorder="1" applyAlignment="1">
      <alignment horizontal="center"/>
    </xf>
    <xf numFmtId="14" fontId="0" fillId="10" borderId="4" xfId="0" applyNumberFormat="1" applyFill="1" applyBorder="1" applyAlignment="1">
      <alignment horizontal="center"/>
    </xf>
    <xf numFmtId="0" fontId="0" fillId="10" borderId="4" xfId="0" applyFill="1" applyBorder="1" applyAlignment="1">
      <alignment horizontal="center"/>
    </xf>
    <xf numFmtId="0" fontId="1" fillId="10" borderId="4" xfId="0" applyFont="1" applyFill="1" applyBorder="1" applyAlignment="1">
      <alignment horizontal="center"/>
    </xf>
    <xf numFmtId="0" fontId="2" fillId="0" borderId="5" xfId="0" applyFont="1" applyBorder="1" applyAlignment="1">
      <alignment horizontal="center"/>
    </xf>
    <xf numFmtId="0" fontId="2" fillId="0" borderId="4" xfId="0" applyFont="1" applyBorder="1" applyAlignment="1">
      <alignment horizontal="center"/>
    </xf>
    <xf numFmtId="0" fontId="0" fillId="0" borderId="37" xfId="0" applyBorder="1" applyAlignment="1">
      <alignment horizontal="center" wrapText="1"/>
    </xf>
    <xf numFmtId="0" fontId="1" fillId="0" borderId="41" xfId="0" applyFont="1" applyBorder="1" applyAlignment="1">
      <alignment horizontal="center" vertical="center"/>
    </xf>
    <xf numFmtId="0" fontId="0" fillId="0" borderId="37" xfId="0" applyBorder="1" applyAlignment="1">
      <alignment horizontal="left" vertical="center"/>
    </xf>
    <xf numFmtId="0" fontId="9" fillId="0" borderId="37" xfId="0" applyFont="1" applyBorder="1" applyAlignment="1">
      <alignment vertical="center"/>
    </xf>
    <xf numFmtId="0" fontId="1" fillId="0" borderId="41" xfId="0" applyFont="1" applyBorder="1" applyAlignment="1">
      <alignment horizontal="right" vertical="center"/>
    </xf>
    <xf numFmtId="0" fontId="2" fillId="0" borderId="37" xfId="0" applyFont="1" applyBorder="1" applyAlignment="1">
      <alignment horizontal="left" vertical="center"/>
    </xf>
    <xf numFmtId="0" fontId="1" fillId="0" borderId="5" xfId="0" applyFont="1" applyBorder="1" applyAlignment="1">
      <alignment horizontal="center" vertical="center"/>
    </xf>
    <xf numFmtId="0" fontId="1" fillId="0" borderId="4" xfId="0" applyFont="1" applyBorder="1" applyAlignment="1">
      <alignment horizontal="center" vertical="center" wrapText="1"/>
    </xf>
    <xf numFmtId="0" fontId="0" fillId="0" borderId="4" xfId="0" applyBorder="1" applyAlignment="1">
      <alignment horizontal="center"/>
    </xf>
    <xf numFmtId="169" fontId="1" fillId="10" borderId="4" xfId="1" applyNumberFormat="1" applyFill="1" applyBorder="1" applyAlignment="1">
      <alignment horizontal="center"/>
    </xf>
    <xf numFmtId="0" fontId="0" fillId="18" borderId="4" xfId="0" applyFill="1" applyBorder="1" applyAlignment="1">
      <alignment horizontal="center" vertical="center" wrapText="1"/>
    </xf>
    <xf numFmtId="14" fontId="1" fillId="0" borderId="41" xfId="0" applyNumberFormat="1" applyFont="1" applyBorder="1" applyAlignment="1">
      <alignment horizontal="center"/>
    </xf>
    <xf numFmtId="4" fontId="0" fillId="0" borderId="4" xfId="0" applyNumberFormat="1" applyBorder="1"/>
    <xf numFmtId="4" fontId="2" fillId="4" borderId="4" xfId="0" applyNumberFormat="1" applyFont="1" applyFill="1" applyBorder="1"/>
    <xf numFmtId="0" fontId="2" fillId="0" borderId="37" xfId="0" applyFont="1" applyBorder="1" applyAlignment="1">
      <alignment horizontal="center"/>
    </xf>
    <xf numFmtId="0" fontId="2" fillId="0" borderId="5" xfId="0" applyFont="1" applyBorder="1" applyAlignment="1">
      <alignment horizontal="center" vertical="center"/>
    </xf>
    <xf numFmtId="2" fontId="2" fillId="4" borderId="4" xfId="0" applyNumberFormat="1" applyFont="1" applyFill="1" applyBorder="1"/>
    <xf numFmtId="0" fontId="2" fillId="0" borderId="74" xfId="0" applyFont="1" applyBorder="1"/>
    <xf numFmtId="0" fontId="2" fillId="4" borderId="5" xfId="0" applyFont="1" applyFill="1" applyBorder="1" applyAlignment="1">
      <alignment horizontal="center" vertical="center"/>
    </xf>
    <xf numFmtId="2" fontId="0" fillId="0" borderId="4" xfId="0" applyNumberFormat="1" applyBorder="1" applyAlignment="1">
      <alignment horizontal="right"/>
    </xf>
    <xf numFmtId="2" fontId="0" fillId="0" borderId="4" xfId="0" applyNumberFormat="1" applyBorder="1" applyAlignment="1">
      <alignment horizontal="right" vertical="center"/>
    </xf>
    <xf numFmtId="0" fontId="2" fillId="4" borderId="4" xfId="0" applyFont="1" applyFill="1" applyBorder="1"/>
    <xf numFmtId="2" fontId="13" fillId="4" borderId="4" xfId="0" applyNumberFormat="1" applyFont="1" applyFill="1" applyBorder="1"/>
    <xf numFmtId="0" fontId="2" fillId="0" borderId="41" xfId="0" applyFont="1" applyBorder="1" applyAlignment="1">
      <alignment horizontal="center"/>
    </xf>
    <xf numFmtId="0" fontId="2" fillId="2" borderId="5" xfId="0" applyFont="1" applyFill="1" applyBorder="1" applyAlignment="1">
      <alignment horizontal="center"/>
    </xf>
    <xf numFmtId="0" fontId="2" fillId="0" borderId="37" xfId="0" applyFont="1" applyBorder="1" applyAlignment="1">
      <alignment vertical="center"/>
    </xf>
    <xf numFmtId="0" fontId="2" fillId="0" borderId="41" xfId="0" applyFont="1" applyBorder="1" applyAlignment="1">
      <alignment vertical="center"/>
    </xf>
    <xf numFmtId="0" fontId="3" fillId="0" borderId="37" xfId="0" applyFont="1" applyBorder="1" applyAlignment="1">
      <alignment vertical="center"/>
    </xf>
    <xf numFmtId="2" fontId="1" fillId="0" borderId="4" xfId="0" applyNumberFormat="1" applyFont="1" applyBorder="1"/>
    <xf numFmtId="2" fontId="0" fillId="0" borderId="4" xfId="0" applyNumberFormat="1" applyBorder="1" applyAlignment="1">
      <alignment horizontal="center"/>
    </xf>
    <xf numFmtId="0" fontId="1" fillId="0" borderId="41" xfId="0" applyFont="1" applyBorder="1"/>
    <xf numFmtId="0" fontId="0" fillId="0" borderId="5" xfId="0" applyBorder="1" applyAlignment="1">
      <alignment horizontal="center"/>
    </xf>
    <xf numFmtId="2" fontId="2" fillId="0" borderId="4" xfId="0" applyNumberFormat="1" applyFont="1" applyBorder="1"/>
    <xf numFmtId="2" fontId="13" fillId="4" borderId="7" xfId="0" applyNumberFormat="1" applyFont="1" applyFill="1" applyBorder="1"/>
    <xf numFmtId="2" fontId="47" fillId="9" borderId="12" xfId="0" applyNumberFormat="1" applyFont="1" applyFill="1" applyBorder="1" applyAlignment="1">
      <alignment horizontal="right" vertical="center"/>
    </xf>
    <xf numFmtId="172" fontId="0" fillId="0" borderId="0" xfId="0" applyNumberFormat="1"/>
    <xf numFmtId="173" fontId="0" fillId="0" borderId="0" xfId="0" applyNumberFormat="1"/>
    <xf numFmtId="0" fontId="47" fillId="9" borderId="21" xfId="0" applyFont="1" applyFill="1" applyBorder="1" applyAlignment="1">
      <alignment vertical="center"/>
    </xf>
    <xf numFmtId="0" fontId="47" fillId="9" borderId="30" xfId="0" applyFont="1" applyFill="1" applyBorder="1" applyAlignment="1">
      <alignment vertical="center"/>
    </xf>
    <xf numFmtId="174" fontId="0" fillId="0" borderId="1" xfId="0" applyNumberFormat="1" applyBorder="1" applyAlignment="1">
      <alignment horizontal="center" vertical="center"/>
    </xf>
    <xf numFmtId="174" fontId="13" fillId="0" borderId="1" xfId="0" applyNumberFormat="1" applyFont="1" applyBorder="1" applyAlignment="1">
      <alignment horizontal="center" vertical="center"/>
    </xf>
    <xf numFmtId="0" fontId="0" fillId="0" borderId="1" xfId="0" applyBorder="1" applyAlignment="1">
      <alignment vertical="center"/>
    </xf>
    <xf numFmtId="0" fontId="0" fillId="10" borderId="1" xfId="0" applyFill="1" applyBorder="1" applyAlignment="1">
      <alignment horizontal="center" vertical="center" wrapText="1"/>
    </xf>
    <xf numFmtId="0" fontId="47" fillId="9" borderId="20" xfId="0" applyFont="1" applyFill="1" applyBorder="1" applyAlignment="1">
      <alignment horizontal="center" vertical="center"/>
    </xf>
    <xf numFmtId="0" fontId="0" fillId="10" borderId="70" xfId="0" applyFill="1" applyBorder="1" applyAlignment="1">
      <alignment horizontal="center" vertical="center"/>
    </xf>
    <xf numFmtId="4" fontId="1" fillId="0" borderId="78" xfId="0" applyNumberFormat="1" applyFont="1" applyBorder="1" applyAlignment="1">
      <alignment horizontal="center" vertical="center" wrapText="1"/>
    </xf>
    <xf numFmtId="1" fontId="7" fillId="10" borderId="78" xfId="0" applyNumberFormat="1" applyFont="1" applyFill="1" applyBorder="1" applyAlignment="1">
      <alignment horizontal="center" vertical="center" wrapText="1"/>
    </xf>
    <xf numFmtId="1" fontId="7" fillId="10" borderId="9" xfId="0" applyNumberFormat="1" applyFont="1" applyFill="1" applyBorder="1" applyAlignment="1">
      <alignment horizontal="center" vertical="center" wrapText="1"/>
    </xf>
    <xf numFmtId="4" fontId="0" fillId="0" borderId="1" xfId="0" applyNumberFormat="1" applyBorder="1" applyAlignment="1">
      <alignment vertical="center" wrapText="1"/>
    </xf>
    <xf numFmtId="1" fontId="7" fillId="10" borderId="1" xfId="0" applyNumberFormat="1" applyFont="1" applyFill="1" applyBorder="1" applyAlignment="1">
      <alignment horizontal="center" vertical="center" wrapText="1"/>
    </xf>
    <xf numFmtId="4" fontId="52" fillId="3" borderId="1" xfId="0" applyNumberFormat="1" applyFont="1" applyFill="1" applyBorder="1" applyAlignment="1">
      <alignment vertical="center" wrapText="1"/>
    </xf>
    <xf numFmtId="4" fontId="52" fillId="3" borderId="1" xfId="0" applyNumberFormat="1" applyFont="1" applyFill="1" applyBorder="1" applyAlignment="1">
      <alignment horizontal="center" vertical="center" wrapText="1"/>
    </xf>
    <xf numFmtId="1" fontId="53" fillId="10" borderId="1" xfId="0" applyNumberFormat="1" applyFont="1" applyFill="1" applyBorder="1" applyAlignment="1">
      <alignment horizontal="center" vertical="center" wrapText="1"/>
    </xf>
    <xf numFmtId="4" fontId="0" fillId="3" borderId="1" xfId="0" applyNumberFormat="1" applyFill="1" applyBorder="1" applyAlignment="1">
      <alignment horizontal="center" vertical="center" wrapText="1"/>
    </xf>
    <xf numFmtId="2" fontId="15" fillId="0" borderId="1" xfId="0" applyNumberFormat="1" applyFont="1" applyBorder="1" applyAlignment="1">
      <alignment horizontal="center" vertical="center"/>
    </xf>
    <xf numFmtId="0" fontId="18" fillId="6" borderId="69" xfId="0" applyFont="1" applyFill="1" applyBorder="1" applyAlignment="1">
      <alignment horizontal="center" vertical="center" wrapText="1"/>
    </xf>
    <xf numFmtId="0" fontId="17" fillId="6" borderId="69" xfId="0" applyFont="1" applyFill="1" applyBorder="1" applyAlignment="1">
      <alignment horizontal="center" vertical="center" wrapText="1"/>
    </xf>
    <xf numFmtId="0" fontId="17" fillId="6" borderId="69" xfId="0" applyFont="1" applyFill="1" applyBorder="1" applyAlignment="1">
      <alignment horizontal="center" vertical="center"/>
    </xf>
    <xf numFmtId="0" fontId="15" fillId="6" borderId="69" xfId="0" applyFont="1" applyFill="1" applyBorder="1" applyAlignment="1">
      <alignment horizontal="center" vertical="center"/>
    </xf>
    <xf numFmtId="2" fontId="15" fillId="0" borderId="45" xfId="0" applyNumberFormat="1" applyFont="1" applyBorder="1" applyAlignment="1">
      <alignment horizontal="center" vertical="center"/>
    </xf>
    <xf numFmtId="0" fontId="45" fillId="0" borderId="1" xfId="0" applyFont="1" applyBorder="1" applyAlignment="1">
      <alignment horizontal="center" vertical="center"/>
    </xf>
    <xf numFmtId="0" fontId="37" fillId="10" borderId="1" xfId="0" applyFont="1" applyFill="1" applyBorder="1" applyAlignment="1">
      <alignment horizontal="center" vertical="center"/>
    </xf>
    <xf numFmtId="0" fontId="45" fillId="0" borderId="26" xfId="0" applyFont="1" applyBorder="1" applyAlignment="1">
      <alignment vertical="center" wrapText="1"/>
    </xf>
    <xf numFmtId="0" fontId="2" fillId="10" borderId="1" xfId="0" applyFont="1" applyFill="1" applyBorder="1" applyAlignment="1">
      <alignment horizontal="center" vertical="center" wrapText="1"/>
    </xf>
    <xf numFmtId="0" fontId="45" fillId="0" borderId="71" xfId="0" applyFont="1" applyBorder="1" applyAlignment="1">
      <alignment vertical="center" wrapText="1"/>
    </xf>
    <xf numFmtId="0" fontId="2" fillId="15" borderId="69" xfId="0" applyFont="1" applyFill="1" applyBorder="1" applyAlignment="1">
      <alignment horizontal="center" vertical="center" wrapText="1"/>
    </xf>
    <xf numFmtId="2" fontId="9" fillId="0" borderId="9" xfId="0" applyNumberFormat="1" applyFont="1" applyBorder="1" applyAlignment="1">
      <alignment horizontal="center" vertical="center"/>
    </xf>
    <xf numFmtId="0" fontId="45" fillId="0" borderId="76" xfId="0" applyFont="1" applyBorder="1" applyAlignment="1">
      <alignment vertical="center" wrapText="1"/>
    </xf>
    <xf numFmtId="0" fontId="2" fillId="15" borderId="77" xfId="0" applyFont="1" applyFill="1" applyBorder="1" applyAlignment="1">
      <alignment horizontal="center" vertical="center" wrapText="1"/>
    </xf>
    <xf numFmtId="0" fontId="2" fillId="15" borderId="1" xfId="0" applyFont="1" applyFill="1" applyBorder="1" applyAlignment="1">
      <alignment horizontal="center" vertical="center" wrapText="1"/>
    </xf>
    <xf numFmtId="0" fontId="45" fillId="0" borderId="45" xfId="0" applyFont="1" applyBorder="1" applyAlignment="1">
      <alignment horizontal="justify" vertical="center"/>
    </xf>
    <xf numFmtId="0" fontId="45" fillId="0" borderId="1" xfId="0" applyFont="1" applyBorder="1" applyAlignment="1">
      <alignment horizontal="justify" vertical="center"/>
    </xf>
    <xf numFmtId="0" fontId="45" fillId="0" borderId="1" xfId="0" applyFont="1" applyBorder="1" applyAlignment="1">
      <alignment horizontal="justify" vertical="center" wrapText="1"/>
    </xf>
    <xf numFmtId="0" fontId="45" fillId="0" borderId="1" xfId="0" applyFont="1" applyBorder="1" applyAlignment="1">
      <alignment horizontal="center" vertical="center" wrapText="1"/>
    </xf>
    <xf numFmtId="0" fontId="45" fillId="0" borderId="1" xfId="0" applyFont="1" applyBorder="1" applyAlignment="1">
      <alignment vertical="center" wrapText="1"/>
    </xf>
    <xf numFmtId="0" fontId="37" fillId="0" borderId="1" xfId="0" applyFont="1" applyBorder="1" applyAlignment="1">
      <alignment vertical="center" wrapText="1"/>
    </xf>
    <xf numFmtId="0" fontId="0" fillId="0" borderId="1" xfId="0" applyBorder="1" applyAlignment="1">
      <alignment vertical="center" wrapText="1"/>
    </xf>
    <xf numFmtId="4" fontId="0" fillId="0" borderId="9" xfId="0" applyNumberFormat="1" applyBorder="1" applyAlignment="1">
      <alignment horizontal="center" vertical="center" wrapText="1"/>
    </xf>
    <xf numFmtId="0" fontId="0" fillId="0" borderId="71" xfId="0" applyBorder="1" applyAlignment="1">
      <alignment vertical="center" wrapText="1"/>
    </xf>
    <xf numFmtId="4" fontId="0" fillId="0" borderId="61" xfId="0" applyNumberFormat="1" applyBorder="1" applyAlignment="1">
      <alignment horizontal="center" vertical="center" wrapText="1"/>
    </xf>
    <xf numFmtId="2" fontId="54" fillId="19" borderId="40" xfId="0" applyNumberFormat="1" applyFont="1" applyFill="1" applyBorder="1" applyAlignment="1">
      <alignment horizontal="center" vertical="center" wrapText="1"/>
    </xf>
    <xf numFmtId="2" fontId="54" fillId="19" borderId="63" xfId="0" applyNumberFormat="1" applyFont="1" applyFill="1" applyBorder="1" applyAlignment="1">
      <alignment horizontal="center" vertical="center" wrapText="1"/>
    </xf>
    <xf numFmtId="4" fontId="0" fillId="3" borderId="26" xfId="0" applyNumberFormat="1" applyFill="1" applyBorder="1" applyAlignment="1">
      <alignment vertical="center" wrapText="1"/>
    </xf>
    <xf numFmtId="2" fontId="0" fillId="0" borderId="9" xfId="0" applyNumberFormat="1" applyBorder="1" applyAlignment="1">
      <alignment horizontal="center" vertical="center"/>
    </xf>
    <xf numFmtId="0" fontId="45" fillId="0" borderId="24" xfId="0" applyFont="1" applyBorder="1" applyAlignment="1">
      <alignment horizontal="justify" vertical="center"/>
    </xf>
    <xf numFmtId="0" fontId="45" fillId="0" borderId="26" xfId="0" applyFont="1" applyBorder="1" applyAlignment="1">
      <alignment horizontal="justify" vertical="center"/>
    </xf>
    <xf numFmtId="3" fontId="0" fillId="0" borderId="1" xfId="0" applyNumberFormat="1" applyBorder="1" applyAlignment="1">
      <alignment horizontal="center" vertical="center" wrapText="1"/>
    </xf>
    <xf numFmtId="0" fontId="45" fillId="3" borderId="26" xfId="0" applyFont="1" applyFill="1" applyBorder="1"/>
    <xf numFmtId="4" fontId="0" fillId="0" borderId="26" xfId="0" applyNumberFormat="1" applyBorder="1" applyAlignment="1">
      <alignment vertical="center" wrapText="1"/>
    </xf>
    <xf numFmtId="0" fontId="0" fillId="0" borderId="26" xfId="0" applyBorder="1" applyAlignment="1">
      <alignment vertical="center" wrapText="1"/>
    </xf>
    <xf numFmtId="2" fontId="7" fillId="16" borderId="69" xfId="0" applyNumberFormat="1" applyFont="1" applyFill="1" applyBorder="1" applyAlignment="1">
      <alignment horizontal="center" vertical="center"/>
    </xf>
    <xf numFmtId="2" fontId="0" fillId="10" borderId="4" xfId="0" applyNumberFormat="1" applyFill="1" applyBorder="1" applyAlignment="1">
      <alignment horizontal="right" vertical="center"/>
    </xf>
    <xf numFmtId="0" fontId="0" fillId="10" borderId="4" xfId="0" applyFill="1" applyBorder="1" applyAlignment="1">
      <alignment horizontal="right" vertical="center"/>
    </xf>
    <xf numFmtId="0" fontId="15" fillId="6" borderId="38" xfId="0" applyFont="1" applyFill="1" applyBorder="1" applyAlignment="1">
      <alignment horizontal="center" vertical="center"/>
    </xf>
    <xf numFmtId="0" fontId="0" fillId="0" borderId="61" xfId="0" applyBorder="1" applyAlignment="1">
      <alignment vertical="center" wrapText="1"/>
    </xf>
    <xf numFmtId="0" fontId="45" fillId="0" borderId="61" xfId="0" applyFont="1" applyBorder="1" applyAlignment="1">
      <alignment horizontal="center" vertical="center" wrapText="1"/>
    </xf>
    <xf numFmtId="0" fontId="37" fillId="10" borderId="61" xfId="0" applyFont="1" applyFill="1" applyBorder="1" applyAlignment="1">
      <alignment horizontal="center" vertical="center"/>
    </xf>
    <xf numFmtId="2" fontId="15" fillId="0" borderId="61" xfId="0" applyNumberFormat="1" applyFont="1" applyBorder="1" applyAlignment="1">
      <alignment horizontal="center" vertical="center"/>
    </xf>
    <xf numFmtId="2" fontId="7" fillId="16" borderId="76" xfId="0" applyNumberFormat="1" applyFont="1" applyFill="1" applyBorder="1" applyAlignment="1">
      <alignment horizontal="center" vertical="center" wrapText="1"/>
    </xf>
    <xf numFmtId="2" fontId="7" fillId="16" borderId="75" xfId="0" applyNumberFormat="1" applyFont="1" applyFill="1" applyBorder="1" applyAlignment="1">
      <alignment horizontal="center" vertical="center" wrapText="1"/>
    </xf>
    <xf numFmtId="165" fontId="0" fillId="0" borderId="1" xfId="0" applyNumberFormat="1" applyBorder="1" applyAlignment="1">
      <alignment horizontal="center" vertical="center"/>
    </xf>
    <xf numFmtId="169" fontId="2" fillId="0" borderId="7" xfId="0" applyNumberFormat="1" applyFont="1" applyBorder="1" applyAlignment="1">
      <alignment horizontal="right" vertical="center"/>
    </xf>
    <xf numFmtId="0" fontId="15" fillId="6" borderId="33" xfId="0" applyFont="1" applyFill="1" applyBorder="1" applyAlignment="1">
      <alignment horizontal="center" vertical="center"/>
    </xf>
    <xf numFmtId="0" fontId="55" fillId="0" borderId="69" xfId="0" applyFont="1" applyBorder="1" applyAlignment="1">
      <alignment horizontal="center" vertical="center"/>
    </xf>
    <xf numFmtId="0" fontId="45" fillId="0" borderId="1" xfId="0" applyFont="1" applyBorder="1" applyAlignment="1">
      <alignment horizontal="left" vertical="center" wrapText="1"/>
    </xf>
    <xf numFmtId="0" fontId="56" fillId="0" borderId="0" xfId="0" applyFont="1"/>
    <xf numFmtId="0" fontId="56" fillId="0" borderId="0" xfId="0" applyFont="1" applyAlignment="1">
      <alignment wrapText="1"/>
    </xf>
    <xf numFmtId="2" fontId="37" fillId="10" borderId="1" xfId="0" applyNumberFormat="1" applyFont="1" applyFill="1" applyBorder="1" applyAlignment="1">
      <alignment horizontal="center" vertical="center"/>
    </xf>
    <xf numFmtId="1" fontId="7" fillId="10" borderId="69" xfId="0" applyNumberFormat="1" applyFont="1" applyFill="1" applyBorder="1" applyAlignment="1">
      <alignment horizontal="center" vertical="center"/>
    </xf>
    <xf numFmtId="2" fontId="15" fillId="0" borderId="9" xfId="0" applyNumberFormat="1" applyFont="1" applyBorder="1" applyAlignment="1">
      <alignment horizontal="center" vertical="center"/>
    </xf>
    <xf numFmtId="2" fontId="0" fillId="0" borderId="69" xfId="0" applyNumberFormat="1" applyBorder="1" applyAlignment="1">
      <alignment horizontal="center" vertical="center"/>
    </xf>
    <xf numFmtId="0" fontId="0" fillId="0" borderId="69" xfId="0" applyBorder="1" applyAlignment="1">
      <alignment horizontal="center" vertical="center"/>
    </xf>
    <xf numFmtId="2" fontId="7" fillId="0" borderId="69" xfId="0" applyNumberFormat="1" applyFont="1" applyBorder="1" applyAlignment="1">
      <alignment horizontal="center" vertical="center"/>
    </xf>
    <xf numFmtId="0" fontId="57" fillId="0" borderId="61" xfId="10" applyBorder="1" applyAlignment="1">
      <alignment horizontal="left" vertical="center" wrapText="1"/>
    </xf>
    <xf numFmtId="4" fontId="1" fillId="0" borderId="61" xfId="0" applyNumberFormat="1" applyFont="1" applyBorder="1" applyAlignment="1">
      <alignment horizontal="center" vertical="center" wrapText="1"/>
    </xf>
    <xf numFmtId="44" fontId="2" fillId="0" borderId="45" xfId="0" applyNumberFormat="1" applyFont="1" applyBorder="1" applyAlignment="1">
      <alignment horizontal="center"/>
    </xf>
    <xf numFmtId="44" fontId="2" fillId="0" borderId="3" xfId="0" applyNumberFormat="1" applyFont="1" applyBorder="1" applyAlignment="1">
      <alignment horizontal="center"/>
    </xf>
    <xf numFmtId="44" fontId="2" fillId="0" borderId="4" xfId="0" applyNumberFormat="1" applyFont="1" applyBorder="1"/>
    <xf numFmtId="44" fontId="2" fillId="0" borderId="4" xfId="0" applyNumberFormat="1" applyFont="1" applyBorder="1" applyAlignment="1">
      <alignment horizontal="center"/>
    </xf>
    <xf numFmtId="0" fontId="0" fillId="0" borderId="4" xfId="0" applyBorder="1" applyAlignment="1">
      <alignment horizontal="center" vertical="center"/>
    </xf>
    <xf numFmtId="1" fontId="0" fillId="0" borderId="1" xfId="0" applyNumberFormat="1" applyBorder="1" applyAlignment="1">
      <alignment horizontal="center" vertical="center" wrapText="1"/>
    </xf>
    <xf numFmtId="0" fontId="0" fillId="0" borderId="0" xfId="0" applyAlignment="1">
      <alignment horizontal="justify" vertical="center" wrapText="1"/>
    </xf>
    <xf numFmtId="0" fontId="0" fillId="0" borderId="26" xfId="0" applyBorder="1" applyAlignment="1">
      <alignment horizontal="justify" vertical="center" wrapText="1"/>
    </xf>
    <xf numFmtId="0" fontId="2" fillId="3" borderId="21" xfId="0" applyFont="1" applyFill="1" applyBorder="1" applyAlignment="1">
      <alignment horizontal="center" vertical="center"/>
    </xf>
    <xf numFmtId="0" fontId="2" fillId="3" borderId="19" xfId="0" applyFont="1" applyFill="1" applyBorder="1" applyAlignment="1">
      <alignment horizontal="center" vertical="center"/>
    </xf>
    <xf numFmtId="0" fontId="2" fillId="3" borderId="13" xfId="0" applyFont="1" applyFill="1" applyBorder="1" applyAlignment="1">
      <alignment horizontal="center" vertical="center"/>
    </xf>
    <xf numFmtId="0" fontId="2" fillId="4" borderId="21" xfId="0" applyFont="1" applyFill="1" applyBorder="1" applyAlignment="1">
      <alignment horizontal="center" vertical="center"/>
    </xf>
    <xf numFmtId="0" fontId="2" fillId="4" borderId="19" xfId="0" applyFont="1" applyFill="1" applyBorder="1" applyAlignment="1">
      <alignment horizontal="center" vertical="center"/>
    </xf>
    <xf numFmtId="0" fontId="2" fillId="4" borderId="13" xfId="0" applyFont="1" applyFill="1" applyBorder="1" applyAlignment="1">
      <alignment horizontal="center" vertical="center"/>
    </xf>
    <xf numFmtId="0" fontId="0" fillId="0" borderId="5" xfId="0" applyBorder="1" applyAlignment="1">
      <alignment horizontal="center" vertical="center"/>
    </xf>
    <xf numFmtId="43" fontId="2" fillId="0" borderId="6" xfId="0" applyNumberFormat="1" applyFont="1" applyBorder="1" applyAlignment="1">
      <alignment horizontal="center" vertical="center"/>
    </xf>
    <xf numFmtId="43" fontId="2" fillId="0" borderId="46" xfId="0" applyNumberFormat="1" applyFont="1" applyBorder="1" applyAlignment="1">
      <alignment horizontal="center" vertical="center"/>
    </xf>
    <xf numFmtId="0" fontId="48" fillId="17" borderId="1" xfId="0" applyFont="1" applyFill="1" applyBorder="1" applyAlignment="1">
      <alignment horizontal="center" vertical="center"/>
    </xf>
    <xf numFmtId="0" fontId="48" fillId="17" borderId="4" xfId="0" applyFont="1" applyFill="1" applyBorder="1" applyAlignment="1">
      <alignment horizontal="center" vertical="center"/>
    </xf>
    <xf numFmtId="0" fontId="47" fillId="9" borderId="21" xfId="0" applyFont="1" applyFill="1" applyBorder="1" applyAlignment="1">
      <alignment horizontal="center" vertical="center"/>
    </xf>
    <xf numFmtId="0" fontId="47" fillId="9" borderId="13" xfId="0" applyFont="1" applyFill="1" applyBorder="1" applyAlignment="1">
      <alignment horizontal="center" vertical="center"/>
    </xf>
    <xf numFmtId="0" fontId="47" fillId="9" borderId="50" xfId="0" applyFont="1" applyFill="1" applyBorder="1" applyAlignment="1">
      <alignment horizontal="center" vertical="center"/>
    </xf>
    <xf numFmtId="0" fontId="47" fillId="9" borderId="55" xfId="0" applyFont="1" applyFill="1" applyBorder="1" applyAlignment="1">
      <alignment horizontal="center" vertical="center"/>
    </xf>
    <xf numFmtId="0" fontId="50" fillId="9" borderId="21" xfId="0" applyFont="1" applyFill="1" applyBorder="1" applyAlignment="1">
      <alignment horizontal="center" vertical="center"/>
    </xf>
    <xf numFmtId="0" fontId="50" fillId="9" borderId="19" xfId="0" applyFont="1" applyFill="1" applyBorder="1" applyAlignment="1">
      <alignment horizontal="center" vertical="center"/>
    </xf>
    <xf numFmtId="169" fontId="49" fillId="9" borderId="21" xfId="0" applyNumberFormat="1" applyFont="1" applyFill="1" applyBorder="1" applyAlignment="1">
      <alignment horizontal="center" vertical="center"/>
    </xf>
    <xf numFmtId="169" fontId="49" fillId="9" borderId="19" xfId="0" applyNumberFormat="1" applyFont="1" applyFill="1" applyBorder="1" applyAlignment="1">
      <alignment horizontal="center" vertical="center"/>
    </xf>
    <xf numFmtId="0" fontId="1" fillId="0" borderId="1" xfId="0" applyFont="1" applyBorder="1" applyAlignment="1">
      <alignment horizontal="left"/>
    </xf>
    <xf numFmtId="0" fontId="13" fillId="4" borderId="6" xfId="0" applyFont="1" applyFill="1" applyBorder="1" applyAlignment="1">
      <alignment horizontal="center"/>
    </xf>
    <xf numFmtId="0" fontId="13" fillId="4" borderId="46" xfId="0" applyFont="1" applyFill="1" applyBorder="1" applyAlignment="1">
      <alignment horizontal="center"/>
    </xf>
    <xf numFmtId="0" fontId="47" fillId="9" borderId="20" xfId="0" applyFont="1" applyFill="1" applyBorder="1" applyAlignment="1">
      <alignment horizontal="center" vertical="center"/>
    </xf>
    <xf numFmtId="0" fontId="47" fillId="9" borderId="73" xfId="0" applyFont="1" applyFill="1" applyBorder="1" applyAlignment="1">
      <alignment horizontal="center" vertical="center"/>
    </xf>
    <xf numFmtId="0" fontId="2" fillId="0" borderId="1" xfId="0" applyFont="1" applyBorder="1" applyAlignment="1">
      <alignment horizontal="center"/>
    </xf>
    <xf numFmtId="0" fontId="0" fillId="0" borderId="1" xfId="0" applyBorder="1" applyAlignment="1">
      <alignment horizontal="left"/>
    </xf>
    <xf numFmtId="0" fontId="2" fillId="4" borderId="5" xfId="0" applyFont="1" applyFill="1" applyBorder="1" applyAlignment="1">
      <alignment horizontal="center"/>
    </xf>
    <xf numFmtId="0" fontId="2" fillId="4" borderId="1" xfId="0" applyFont="1" applyFill="1" applyBorder="1" applyAlignment="1">
      <alignment horizontal="center"/>
    </xf>
    <xf numFmtId="0" fontId="0" fillId="0" borderId="1" xfId="0" applyBorder="1" applyAlignment="1">
      <alignment horizontal="left" wrapText="1"/>
    </xf>
    <xf numFmtId="0" fontId="2" fillId="0" borderId="5" xfId="0" applyFont="1" applyBorder="1" applyAlignment="1">
      <alignment horizontal="center"/>
    </xf>
    <xf numFmtId="0" fontId="2" fillId="0" borderId="1" xfId="0" applyFont="1" applyBorder="1" applyAlignment="1">
      <alignment horizontal="left"/>
    </xf>
    <xf numFmtId="0" fontId="13" fillId="4" borderId="5" xfId="0" applyFont="1" applyFill="1" applyBorder="1" applyAlignment="1">
      <alignment horizontal="center"/>
    </xf>
    <xf numFmtId="0" fontId="13" fillId="4" borderId="1" xfId="0" applyFont="1" applyFill="1" applyBorder="1" applyAlignment="1">
      <alignment horizontal="center"/>
    </xf>
    <xf numFmtId="0" fontId="0" fillId="0" borderId="1" xfId="0" applyBorder="1"/>
    <xf numFmtId="0" fontId="2" fillId="4" borderId="21" xfId="0" applyFont="1" applyFill="1" applyBorder="1" applyAlignment="1">
      <alignment horizontal="center"/>
    </xf>
    <xf numFmtId="0" fontId="2" fillId="4" borderId="19" xfId="0" applyFont="1" applyFill="1" applyBorder="1" applyAlignment="1">
      <alignment horizontal="center"/>
    </xf>
    <xf numFmtId="0" fontId="0" fillId="10" borderId="5" xfId="0" applyFill="1" applyBorder="1" applyAlignment="1">
      <alignment horizontal="left" vertical="center"/>
    </xf>
    <xf numFmtId="0" fontId="0" fillId="10" borderId="1" xfId="0" applyFill="1" applyBorder="1" applyAlignment="1">
      <alignment horizontal="left" vertical="center"/>
    </xf>
    <xf numFmtId="0" fontId="2" fillId="5" borderId="5" xfId="0" applyFont="1" applyFill="1" applyBorder="1" applyAlignment="1">
      <alignment horizontal="center"/>
    </xf>
    <xf numFmtId="0" fontId="2" fillId="5" borderId="1" xfId="0" applyFont="1" applyFill="1" applyBorder="1" applyAlignment="1">
      <alignment horizontal="center"/>
    </xf>
    <xf numFmtId="0" fontId="2" fillId="2" borderId="38" xfId="0" applyFont="1" applyFill="1" applyBorder="1" applyAlignment="1">
      <alignment horizontal="center"/>
    </xf>
    <xf numFmtId="0" fontId="2" fillId="2" borderId="33" xfId="0" applyFont="1" applyFill="1" applyBorder="1" applyAlignment="1">
      <alignment horizontal="center"/>
    </xf>
    <xf numFmtId="0" fontId="2" fillId="4" borderId="25" xfId="0" applyFont="1" applyFill="1" applyBorder="1" applyAlignment="1">
      <alignment horizontal="center"/>
    </xf>
    <xf numFmtId="0" fontId="2" fillId="4" borderId="11" xfId="0" applyFont="1" applyFill="1" applyBorder="1" applyAlignment="1">
      <alignment horizontal="center"/>
    </xf>
    <xf numFmtId="0" fontId="2" fillId="4" borderId="26" xfId="0" applyFont="1" applyFill="1" applyBorder="1" applyAlignment="1">
      <alignment horizontal="center"/>
    </xf>
    <xf numFmtId="0" fontId="0" fillId="0" borderId="25" xfId="0" applyBorder="1" applyAlignment="1">
      <alignment horizontal="left"/>
    </xf>
    <xf numFmtId="0" fontId="0" fillId="0" borderId="11" xfId="0" applyBorder="1" applyAlignment="1">
      <alignment horizontal="left"/>
    </xf>
    <xf numFmtId="0" fontId="0" fillId="0" borderId="26" xfId="0" applyBorder="1" applyAlignment="1">
      <alignment horizontal="left"/>
    </xf>
    <xf numFmtId="0" fontId="2" fillId="4" borderId="27" xfId="0" applyFont="1" applyFill="1" applyBorder="1" applyAlignment="1">
      <alignment horizontal="center"/>
    </xf>
    <xf numFmtId="0" fontId="2" fillId="0" borderId="25" xfId="0" applyFont="1" applyBorder="1" applyAlignment="1">
      <alignment horizontal="center" vertical="center"/>
    </xf>
    <xf numFmtId="0" fontId="2" fillId="0" borderId="11" xfId="0" applyFont="1" applyBorder="1" applyAlignment="1">
      <alignment horizontal="center" vertical="center"/>
    </xf>
    <xf numFmtId="0" fontId="2" fillId="0" borderId="26" xfId="0" applyFont="1" applyBorder="1" applyAlignment="1">
      <alignment horizontal="center" vertical="center"/>
    </xf>
    <xf numFmtId="0" fontId="0" fillId="0" borderId="25" xfId="0" applyBorder="1" applyAlignment="1">
      <alignment horizontal="left" vertical="center"/>
    </xf>
    <xf numFmtId="0" fontId="0" fillId="0" borderId="11" xfId="0" applyBorder="1" applyAlignment="1">
      <alignment horizontal="left" vertical="center"/>
    </xf>
    <xf numFmtId="0" fontId="0" fillId="0" borderId="26" xfId="0" applyBorder="1" applyAlignment="1">
      <alignment horizontal="left" vertical="center"/>
    </xf>
    <xf numFmtId="0" fontId="25" fillId="0" borderId="25" xfId="0" applyFont="1" applyBorder="1" applyAlignment="1">
      <alignment horizontal="center"/>
    </xf>
    <xf numFmtId="0" fontId="25" fillId="0" borderId="11" xfId="0" applyFont="1" applyBorder="1" applyAlignment="1">
      <alignment horizontal="center"/>
    </xf>
    <xf numFmtId="0" fontId="25" fillId="0" borderId="26" xfId="0" applyFont="1" applyBorder="1" applyAlignment="1">
      <alignment horizontal="center"/>
    </xf>
    <xf numFmtId="0" fontId="18" fillId="0" borderId="1" xfId="0" applyFont="1" applyBorder="1" applyAlignment="1">
      <alignment horizontal="left"/>
    </xf>
    <xf numFmtId="0" fontId="2" fillId="0" borderId="27" xfId="0" applyFont="1" applyBorder="1" applyAlignment="1">
      <alignment horizontal="center"/>
    </xf>
    <xf numFmtId="0" fontId="2" fillId="0" borderId="11" xfId="0" applyFont="1" applyBorder="1" applyAlignment="1">
      <alignment horizontal="center"/>
    </xf>
    <xf numFmtId="0" fontId="0" fillId="0" borderId="1" xfId="0" applyBorder="1" applyAlignment="1">
      <alignment horizontal="left" vertical="center"/>
    </xf>
    <xf numFmtId="0" fontId="0" fillId="0" borderId="1" xfId="0" applyBorder="1" applyAlignment="1">
      <alignment wrapText="1"/>
    </xf>
    <xf numFmtId="0" fontId="1" fillId="0" borderId="1" xfId="0" applyFont="1" applyBorder="1" applyAlignment="1">
      <alignment horizontal="left" vertical="center"/>
    </xf>
    <xf numFmtId="0" fontId="2" fillId="4" borderId="25" xfId="0" applyFont="1" applyFill="1" applyBorder="1" applyAlignment="1">
      <alignment horizontal="center" vertical="center"/>
    </xf>
    <xf numFmtId="0" fontId="2" fillId="4" borderId="11" xfId="0" applyFont="1" applyFill="1" applyBorder="1" applyAlignment="1">
      <alignment horizontal="center" vertical="center"/>
    </xf>
    <xf numFmtId="0" fontId="2" fillId="4" borderId="26" xfId="0" applyFont="1" applyFill="1" applyBorder="1" applyAlignment="1">
      <alignment horizontal="center" vertical="center"/>
    </xf>
    <xf numFmtId="0" fontId="0" fillId="0" borderId="5" xfId="0" applyBorder="1" applyAlignment="1">
      <alignment horizontal="center" vertical="center" wrapText="1"/>
    </xf>
    <xf numFmtId="0" fontId="1" fillId="0" borderId="1" xfId="0" applyFont="1" applyBorder="1" applyAlignment="1">
      <alignment horizontal="center" vertical="center" wrapText="1"/>
    </xf>
    <xf numFmtId="0" fontId="0" fillId="0" borderId="1" xfId="0" applyBorder="1" applyAlignment="1">
      <alignment horizontal="center" vertical="center" wrapText="1"/>
    </xf>
    <xf numFmtId="0" fontId="2" fillId="4" borderId="4" xfId="0" applyFont="1" applyFill="1" applyBorder="1" applyAlignment="1">
      <alignment horizontal="center"/>
    </xf>
    <xf numFmtId="0" fontId="2" fillId="5" borderId="4" xfId="0" applyFont="1" applyFill="1" applyBorder="1" applyAlignment="1">
      <alignment horizontal="center"/>
    </xf>
    <xf numFmtId="0" fontId="2" fillId="2" borderId="75" xfId="0" applyFont="1" applyFill="1" applyBorder="1" applyAlignment="1">
      <alignment horizontal="center"/>
    </xf>
    <xf numFmtId="0" fontId="2" fillId="0" borderId="70" xfId="0" applyFont="1" applyBorder="1" applyAlignment="1">
      <alignment horizontal="center"/>
    </xf>
    <xf numFmtId="0" fontId="2" fillId="4" borderId="13" xfId="0" applyFont="1" applyFill="1" applyBorder="1" applyAlignment="1">
      <alignment horizontal="center"/>
    </xf>
    <xf numFmtId="0" fontId="2" fillId="0" borderId="4" xfId="0" applyFont="1" applyBorder="1" applyAlignment="1">
      <alignment horizontal="center"/>
    </xf>
    <xf numFmtId="0" fontId="2" fillId="0" borderId="25" xfId="0" applyFont="1" applyBorder="1" applyAlignment="1">
      <alignment horizontal="left"/>
    </xf>
    <xf numFmtId="0" fontId="2" fillId="0" borderId="11" xfId="0" applyFont="1" applyBorder="1" applyAlignment="1">
      <alignment horizontal="left"/>
    </xf>
    <xf numFmtId="0" fontId="2" fillId="0" borderId="26" xfId="0" applyFont="1" applyBorder="1" applyAlignment="1">
      <alignment horizontal="left"/>
    </xf>
    <xf numFmtId="0" fontId="0" fillId="0" borderId="32" xfId="0" applyBorder="1" applyAlignment="1">
      <alignment horizontal="left" vertical="center" wrapText="1"/>
    </xf>
    <xf numFmtId="0" fontId="0" fillId="0" borderId="33" xfId="0" applyBorder="1" applyAlignment="1">
      <alignment horizontal="left" vertical="center" wrapText="1"/>
    </xf>
    <xf numFmtId="0" fontId="0" fillId="0" borderId="34" xfId="0"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1" xfId="0" applyFont="1" applyBorder="1" applyAlignment="1">
      <alignment horizontal="center" wrapText="1"/>
    </xf>
    <xf numFmtId="0" fontId="0" fillId="0" borderId="1" xfId="0" applyBorder="1" applyAlignment="1">
      <alignment horizontal="center" vertical="center"/>
    </xf>
    <xf numFmtId="2" fontId="0" fillId="0" borderId="1" xfId="0" applyNumberFormat="1" applyBorder="1" applyAlignment="1">
      <alignment horizontal="center" vertical="center"/>
    </xf>
    <xf numFmtId="0" fontId="13" fillId="0" borderId="32" xfId="0" applyFont="1" applyBorder="1" applyAlignment="1">
      <alignment vertical="center" wrapText="1"/>
    </xf>
    <xf numFmtId="0" fontId="31" fillId="0" borderId="33" xfId="0" applyFont="1" applyBorder="1" applyAlignment="1">
      <alignment vertical="center" wrapText="1"/>
    </xf>
    <xf numFmtId="0" fontId="31" fillId="0" borderId="34" xfId="0" applyFont="1" applyBorder="1" applyAlignment="1">
      <alignment vertical="center" wrapText="1"/>
    </xf>
    <xf numFmtId="0" fontId="31" fillId="0" borderId="22" xfId="0" applyFont="1" applyBorder="1" applyAlignment="1">
      <alignment vertical="center" wrapText="1"/>
    </xf>
    <xf numFmtId="0" fontId="31" fillId="0" borderId="23" xfId="0" applyFont="1" applyBorder="1" applyAlignment="1">
      <alignment vertical="center" wrapText="1"/>
    </xf>
    <xf numFmtId="0" fontId="31" fillId="0" borderId="24" xfId="0" applyFont="1" applyBorder="1" applyAlignment="1">
      <alignment vertical="center" wrapText="1"/>
    </xf>
    <xf numFmtId="0" fontId="0" fillId="0" borderId="1" xfId="0" applyBorder="1" applyAlignment="1">
      <alignment horizontal="justify" vertical="justify" wrapText="1"/>
    </xf>
    <xf numFmtId="0" fontId="0" fillId="0" borderId="1" xfId="0" applyBorder="1" applyAlignment="1">
      <alignment horizontal="justify" vertical="justify"/>
    </xf>
    <xf numFmtId="0" fontId="20" fillId="0" borderId="1" xfId="0" applyFont="1" applyBorder="1"/>
    <xf numFmtId="0" fontId="2" fillId="0" borderId="61" xfId="0" applyFont="1" applyBorder="1" applyAlignment="1">
      <alignment horizontal="center"/>
    </xf>
    <xf numFmtId="0" fontId="1" fillId="0" borderId="25" xfId="0" applyFont="1" applyBorder="1" applyAlignment="1">
      <alignment horizontal="center" vertical="center" wrapText="1"/>
    </xf>
    <xf numFmtId="0" fontId="45" fillId="10" borderId="5" xfId="0" applyFont="1" applyFill="1" applyBorder="1" applyAlignment="1">
      <alignment horizontal="left" vertical="center"/>
    </xf>
    <xf numFmtId="0" fontId="0" fillId="10" borderId="69" xfId="0" applyFill="1" applyBorder="1" applyAlignment="1">
      <alignment horizontal="center" vertical="center"/>
    </xf>
    <xf numFmtId="0" fontId="13" fillId="0" borderId="32" xfId="0" applyFont="1" applyBorder="1" applyAlignment="1">
      <alignment horizontal="center" vertical="center" wrapText="1"/>
    </xf>
    <xf numFmtId="0" fontId="31" fillId="0" borderId="33" xfId="0" applyFont="1" applyBorder="1" applyAlignment="1">
      <alignment horizontal="center" vertical="center" wrapText="1"/>
    </xf>
    <xf numFmtId="0" fontId="31" fillId="0" borderId="34" xfId="0" applyFont="1" applyBorder="1" applyAlignment="1">
      <alignment horizontal="center" vertical="center" wrapText="1"/>
    </xf>
    <xf numFmtId="0" fontId="31" fillId="0" borderId="22" xfId="0" applyFont="1" applyBorder="1" applyAlignment="1">
      <alignment horizontal="center" vertical="center" wrapText="1"/>
    </xf>
    <xf numFmtId="0" fontId="31" fillId="0" borderId="23" xfId="0" applyFont="1" applyBorder="1" applyAlignment="1">
      <alignment horizontal="center" vertical="center" wrapText="1"/>
    </xf>
    <xf numFmtId="0" fontId="31" fillId="0" borderId="24" xfId="0" applyFont="1" applyBorder="1" applyAlignment="1">
      <alignment horizontal="center" vertical="center" wrapText="1"/>
    </xf>
    <xf numFmtId="0" fontId="0" fillId="0" borderId="1" xfId="0" applyBorder="1" applyAlignment="1">
      <alignment vertical="center"/>
    </xf>
    <xf numFmtId="0" fontId="2" fillId="0" borderId="25" xfId="0" applyFont="1" applyBorder="1" applyAlignment="1">
      <alignment horizontal="center"/>
    </xf>
    <xf numFmtId="0" fontId="45" fillId="10" borderId="1" xfId="0" applyFont="1" applyFill="1" applyBorder="1" applyAlignment="1">
      <alignment horizontal="left" vertical="center"/>
    </xf>
    <xf numFmtId="0" fontId="0" fillId="10" borderId="25" xfId="0" applyFill="1" applyBorder="1" applyAlignment="1">
      <alignment horizontal="center" vertical="center"/>
    </xf>
    <xf numFmtId="0" fontId="0" fillId="10" borderId="11" xfId="0" applyFill="1" applyBorder="1" applyAlignment="1">
      <alignment horizontal="center" vertical="center"/>
    </xf>
    <xf numFmtId="0" fontId="0" fillId="10" borderId="26" xfId="0" applyFill="1" applyBorder="1" applyAlignment="1">
      <alignment horizontal="center" vertical="center"/>
    </xf>
    <xf numFmtId="0" fontId="0" fillId="0" borderId="0" xfId="0" applyAlignment="1">
      <alignment horizontal="justify" vertical="top" wrapText="1"/>
    </xf>
    <xf numFmtId="0" fontId="0" fillId="0" borderId="0" xfId="0" applyAlignment="1">
      <alignment horizontal="justify" vertical="top"/>
    </xf>
    <xf numFmtId="0" fontId="7" fillId="4" borderId="21" xfId="0" applyFont="1" applyFill="1" applyBorder="1" applyAlignment="1">
      <alignment horizontal="center" vertical="center"/>
    </xf>
    <xf numFmtId="0" fontId="0" fillId="0" borderId="0" xfId="0" applyAlignment="1">
      <alignment horizontal="left" vertical="top" wrapText="1"/>
    </xf>
    <xf numFmtId="0" fontId="56" fillId="0" borderId="0" xfId="0" applyFont="1" applyAlignment="1">
      <alignment horizontal="center" vertical="center" wrapText="1"/>
    </xf>
    <xf numFmtId="0" fontId="2" fillId="6" borderId="21" xfId="0" applyFont="1" applyFill="1" applyBorder="1" applyAlignment="1">
      <alignment horizontal="center" vertical="center"/>
    </xf>
    <xf numFmtId="0" fontId="2" fillId="6" borderId="19" xfId="0" applyFont="1" applyFill="1" applyBorder="1" applyAlignment="1">
      <alignment horizontal="center" vertical="center"/>
    </xf>
    <xf numFmtId="0" fontId="2" fillId="6" borderId="13" xfId="0" applyFont="1" applyFill="1" applyBorder="1" applyAlignment="1">
      <alignment horizontal="center" vertical="center"/>
    </xf>
    <xf numFmtId="44" fontId="7" fillId="8" borderId="30" xfId="0" applyNumberFormat="1" applyFont="1" applyFill="1" applyBorder="1" applyAlignment="1">
      <alignment horizontal="center" vertical="center"/>
    </xf>
    <xf numFmtId="44" fontId="7" fillId="8" borderId="49" xfId="0" applyNumberFormat="1" applyFont="1" applyFill="1" applyBorder="1" applyAlignment="1">
      <alignment horizontal="center" vertical="center"/>
    </xf>
    <xf numFmtId="44" fontId="2" fillId="9" borderId="21" xfId="0" applyNumberFormat="1" applyFont="1" applyFill="1" applyBorder="1" applyAlignment="1">
      <alignment horizontal="center"/>
    </xf>
    <xf numFmtId="44" fontId="2" fillId="9" borderId="13" xfId="0" applyNumberFormat="1" applyFont="1" applyFill="1" applyBorder="1" applyAlignment="1">
      <alignment horizontal="center"/>
    </xf>
    <xf numFmtId="0" fontId="2" fillId="6" borderId="21" xfId="0" applyFont="1" applyFill="1" applyBorder="1" applyAlignment="1">
      <alignment horizontal="center" vertical="center" wrapText="1"/>
    </xf>
    <xf numFmtId="0" fontId="2" fillId="6" borderId="19" xfId="0" applyFont="1" applyFill="1" applyBorder="1" applyAlignment="1">
      <alignment horizontal="center" vertical="center" wrapText="1"/>
    </xf>
    <xf numFmtId="44" fontId="14" fillId="10" borderId="21" xfId="0" applyNumberFormat="1" applyFont="1" applyFill="1" applyBorder="1" applyAlignment="1">
      <alignment horizontal="center" vertical="center" wrapText="1"/>
    </xf>
    <xf numFmtId="44" fontId="14" fillId="10" borderId="13" xfId="0" applyNumberFormat="1" applyFont="1" applyFill="1" applyBorder="1" applyAlignment="1">
      <alignment horizontal="center" vertical="center" wrapText="1"/>
    </xf>
    <xf numFmtId="0" fontId="41" fillId="0" borderId="21" xfId="0" applyFont="1" applyBorder="1" applyAlignment="1">
      <alignment horizontal="left" vertical="center" wrapText="1"/>
    </xf>
    <xf numFmtId="0" fontId="41" fillId="0" borderId="19" xfId="0" applyFont="1" applyBorder="1" applyAlignment="1">
      <alignment horizontal="left" vertical="center" wrapText="1"/>
    </xf>
    <xf numFmtId="0" fontId="41" fillId="0" borderId="13" xfId="0" applyFont="1" applyBorder="1" applyAlignment="1">
      <alignment horizontal="left" vertical="center" wrapText="1"/>
    </xf>
    <xf numFmtId="0" fontId="15" fillId="6" borderId="45" xfId="0" applyFont="1" applyFill="1" applyBorder="1" applyAlignment="1">
      <alignment horizontal="left" vertical="center" wrapText="1"/>
    </xf>
    <xf numFmtId="0" fontId="15" fillId="6" borderId="3" xfId="0" applyFont="1" applyFill="1" applyBorder="1" applyAlignment="1">
      <alignment horizontal="left" vertical="center" wrapText="1"/>
    </xf>
    <xf numFmtId="0" fontId="15" fillId="0" borderId="1" xfId="0" applyFont="1" applyBorder="1" applyAlignment="1">
      <alignment horizontal="left" vertical="center" wrapText="1"/>
    </xf>
    <xf numFmtId="0" fontId="15" fillId="0" borderId="4" xfId="0" applyFont="1" applyBorder="1" applyAlignment="1">
      <alignment horizontal="left" vertical="center" wrapText="1"/>
    </xf>
    <xf numFmtId="0" fontId="15" fillId="6" borderId="1" xfId="0" applyFont="1" applyFill="1" applyBorder="1" applyAlignment="1">
      <alignment horizontal="left" vertical="center" wrapText="1"/>
    </xf>
    <xf numFmtId="0" fontId="15" fillId="6" borderId="4" xfId="0" applyFont="1" applyFill="1" applyBorder="1" applyAlignment="1">
      <alignment horizontal="left" vertical="center" wrapText="1"/>
    </xf>
    <xf numFmtId="0" fontId="15" fillId="0" borderId="1" xfId="0" applyFont="1" applyBorder="1" applyAlignment="1">
      <alignment horizontal="left" vertical="center"/>
    </xf>
    <xf numFmtId="0" fontId="15" fillId="0" borderId="4" xfId="0" applyFont="1" applyBorder="1" applyAlignment="1">
      <alignment horizontal="left" vertical="center"/>
    </xf>
    <xf numFmtId="0" fontId="16" fillId="0" borderId="1" xfId="4" applyBorder="1" applyAlignment="1" applyProtection="1">
      <alignment horizontal="left" vertical="center" wrapText="1"/>
    </xf>
    <xf numFmtId="0" fontId="16" fillId="6" borderId="1" xfId="4" applyFill="1" applyBorder="1" applyAlignment="1" applyProtection="1">
      <alignment horizontal="left" vertical="center" wrapText="1"/>
    </xf>
    <xf numFmtId="0" fontId="15" fillId="6" borderId="45" xfId="0" applyFont="1" applyFill="1" applyBorder="1" applyAlignment="1">
      <alignment horizontal="left" vertical="center"/>
    </xf>
    <xf numFmtId="0" fontId="16" fillId="6" borderId="45" xfId="4" applyFill="1" applyBorder="1" applyAlignment="1" applyProtection="1">
      <alignment horizontal="left" vertical="center" wrapText="1"/>
    </xf>
    <xf numFmtId="0" fontId="46" fillId="0" borderId="1" xfId="4" applyFont="1" applyBorder="1" applyAlignment="1" applyProtection="1">
      <alignment horizontal="left" vertical="center" wrapText="1"/>
    </xf>
    <xf numFmtId="3" fontId="43" fillId="7" borderId="1" xfId="0" applyNumberFormat="1" applyFont="1" applyFill="1" applyBorder="1" applyAlignment="1">
      <alignment horizontal="left" vertical="center"/>
    </xf>
    <xf numFmtId="0" fontId="43" fillId="7" borderId="4" xfId="0" applyFont="1" applyFill="1" applyBorder="1" applyAlignment="1">
      <alignment horizontal="left" vertical="center"/>
    </xf>
    <xf numFmtId="3" fontId="43" fillId="0" borderId="46" xfId="0" applyNumberFormat="1" applyFont="1" applyBorder="1" applyAlignment="1">
      <alignment horizontal="left" vertical="center"/>
    </xf>
    <xf numFmtId="0" fontId="43" fillId="0" borderId="7" xfId="0" applyFont="1" applyBorder="1" applyAlignment="1">
      <alignment horizontal="left" vertical="center"/>
    </xf>
    <xf numFmtId="0" fontId="2" fillId="6" borderId="2" xfId="0" applyFont="1" applyFill="1" applyBorder="1" applyAlignment="1">
      <alignment horizontal="center" vertical="center" textRotation="90"/>
    </xf>
    <xf numFmtId="0" fontId="2" fillId="6" borderId="5" xfId="0" applyFont="1" applyFill="1" applyBorder="1" applyAlignment="1">
      <alignment horizontal="center" vertical="center" textRotation="90"/>
    </xf>
    <xf numFmtId="0" fontId="2" fillId="6" borderId="6" xfId="0" applyFont="1" applyFill="1" applyBorder="1" applyAlignment="1">
      <alignment horizontal="center" vertical="center" textRotation="90"/>
    </xf>
    <xf numFmtId="0" fontId="2" fillId="6" borderId="45"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2" fillId="6" borderId="46" xfId="0" applyFont="1" applyFill="1" applyBorder="1" applyAlignment="1">
      <alignment horizontal="center" vertical="center" wrapText="1"/>
    </xf>
    <xf numFmtId="0" fontId="2" fillId="6" borderId="45" xfId="0" applyFont="1" applyFill="1" applyBorder="1" applyAlignment="1">
      <alignment horizontal="center" vertical="center" textRotation="90"/>
    </xf>
    <xf numFmtId="0" fontId="2" fillId="6" borderId="1" xfId="0" applyFont="1" applyFill="1" applyBorder="1" applyAlignment="1">
      <alignment horizontal="center" vertical="center" textRotation="90"/>
    </xf>
    <xf numFmtId="0" fontId="2" fillId="6" borderId="46" xfId="0" applyFont="1" applyFill="1" applyBorder="1" applyAlignment="1">
      <alignment horizontal="center" vertical="center" textRotation="90"/>
    </xf>
    <xf numFmtId="0" fontId="2" fillId="6" borderId="3" xfId="0" applyFont="1" applyFill="1" applyBorder="1" applyAlignment="1">
      <alignment horizontal="center" vertical="center" textRotation="90"/>
    </xf>
    <xf numFmtId="0" fontId="2" fillId="6" borderId="4" xfId="0" applyFont="1" applyFill="1" applyBorder="1" applyAlignment="1">
      <alignment horizontal="center" vertical="center" textRotation="90"/>
    </xf>
    <xf numFmtId="0" fontId="2" fillId="6" borderId="7" xfId="0" applyFont="1" applyFill="1" applyBorder="1" applyAlignment="1">
      <alignment horizontal="center" vertical="center" textRotation="90"/>
    </xf>
    <xf numFmtId="0" fontId="1" fillId="6" borderId="53" xfId="0" applyFont="1" applyFill="1" applyBorder="1" applyAlignment="1">
      <alignment horizontal="center"/>
    </xf>
    <xf numFmtId="0" fontId="1" fillId="6" borderId="14" xfId="0" applyFont="1" applyFill="1" applyBorder="1" applyAlignment="1">
      <alignment horizontal="center"/>
    </xf>
    <xf numFmtId="0" fontId="1" fillId="6" borderId="54" xfId="0" applyFont="1" applyFill="1" applyBorder="1" applyAlignment="1">
      <alignment horizontal="center"/>
    </xf>
    <xf numFmtId="0" fontId="2" fillId="6" borderId="53" xfId="0" applyFont="1" applyFill="1" applyBorder="1" applyAlignment="1">
      <alignment horizontal="center" vertical="center"/>
    </xf>
    <xf numFmtId="0" fontId="2" fillId="6" borderId="54" xfId="0" applyFont="1" applyFill="1" applyBorder="1" applyAlignment="1">
      <alignment horizontal="center" vertical="center"/>
    </xf>
    <xf numFmtId="0" fontId="2" fillId="6" borderId="47" xfId="0" applyFont="1" applyFill="1" applyBorder="1" applyAlignment="1">
      <alignment horizontal="center" vertical="center" wrapText="1"/>
    </xf>
    <xf numFmtId="0" fontId="2" fillId="6" borderId="50" xfId="0" applyFont="1" applyFill="1" applyBorder="1" applyAlignment="1">
      <alignment horizontal="center" vertical="center" wrapText="1"/>
    </xf>
    <xf numFmtId="0" fontId="2" fillId="6" borderId="48" xfId="0" applyFont="1" applyFill="1" applyBorder="1" applyAlignment="1">
      <alignment horizontal="center" vertical="center" wrapText="1"/>
    </xf>
    <xf numFmtId="0" fontId="2" fillId="6" borderId="55" xfId="0" applyFont="1" applyFill="1" applyBorder="1" applyAlignment="1">
      <alignment horizontal="center" vertical="center" wrapText="1"/>
    </xf>
    <xf numFmtId="0" fontId="43" fillId="0" borderId="46" xfId="0" applyFont="1" applyBorder="1" applyAlignment="1">
      <alignment horizontal="left" vertical="center"/>
    </xf>
    <xf numFmtId="0" fontId="16" fillId="0" borderId="46" xfId="4" applyBorder="1" applyAlignment="1" applyProtection="1">
      <alignment horizontal="left" vertical="center" wrapText="1"/>
    </xf>
    <xf numFmtId="0" fontId="43" fillId="0" borderId="46" xfId="0" applyFont="1" applyBorder="1" applyAlignment="1">
      <alignment horizontal="left" vertical="center" wrapText="1"/>
    </xf>
    <xf numFmtId="0" fontId="43" fillId="7" borderId="1" xfId="0" applyFont="1" applyFill="1" applyBorder="1" applyAlignment="1">
      <alignment horizontal="left" vertical="center"/>
    </xf>
    <xf numFmtId="0" fontId="16" fillId="7" borderId="1" xfId="4" applyFill="1" applyBorder="1" applyAlignment="1" applyProtection="1">
      <alignment horizontal="left" vertical="center" wrapText="1"/>
    </xf>
    <xf numFmtId="0" fontId="44" fillId="7" borderId="1" xfId="4" applyFont="1" applyFill="1" applyBorder="1" applyAlignment="1" applyProtection="1">
      <alignment horizontal="left" vertical="center" wrapText="1"/>
    </xf>
    <xf numFmtId="0" fontId="0" fillId="0" borderId="56" xfId="0" applyBorder="1" applyAlignment="1">
      <alignment horizontal="center"/>
    </xf>
    <xf numFmtId="0" fontId="0" fillId="0" borderId="57" xfId="0" applyBorder="1" applyAlignment="1">
      <alignment horizontal="center"/>
    </xf>
    <xf numFmtId="0" fontId="0" fillId="0" borderId="37" xfId="0" applyBorder="1" applyAlignment="1">
      <alignment horizontal="center"/>
    </xf>
    <xf numFmtId="0" fontId="0" fillId="0" borderId="41" xfId="0" applyBorder="1" applyAlignment="1">
      <alignment horizontal="center"/>
    </xf>
    <xf numFmtId="0" fontId="0" fillId="0" borderId="30" xfId="0" applyBorder="1" applyAlignment="1">
      <alignment horizontal="center"/>
    </xf>
    <xf numFmtId="0" fontId="0" fillId="0" borderId="49" xfId="0" applyBorder="1" applyAlignment="1">
      <alignment horizontal="center"/>
    </xf>
    <xf numFmtId="0" fontId="2" fillId="6" borderId="43" xfId="0" applyFont="1" applyFill="1" applyBorder="1" applyAlignment="1">
      <alignment horizontal="center" vertical="center" textRotation="90" wrapText="1"/>
    </xf>
    <xf numFmtId="0" fontId="2" fillId="6" borderId="59" xfId="0" applyFont="1" applyFill="1" applyBorder="1" applyAlignment="1">
      <alignment horizontal="center" vertical="center" textRotation="90" wrapText="1"/>
    </xf>
    <xf numFmtId="0" fontId="2" fillId="6" borderId="42" xfId="0" applyFont="1" applyFill="1" applyBorder="1" applyAlignment="1">
      <alignment horizontal="center" vertical="center" textRotation="90" wrapText="1"/>
    </xf>
    <xf numFmtId="0" fontId="15" fillId="0" borderId="56" xfId="0" applyFont="1" applyBorder="1" applyAlignment="1">
      <alignment horizontal="left" vertical="top" wrapText="1"/>
    </xf>
    <xf numFmtId="0" fontId="15" fillId="0" borderId="58" xfId="0" applyFont="1" applyBorder="1" applyAlignment="1">
      <alignment horizontal="left" vertical="top" wrapText="1"/>
    </xf>
    <xf numFmtId="0" fontId="15" fillId="0" borderId="57" xfId="0" applyFont="1" applyBorder="1" applyAlignment="1">
      <alignment horizontal="left" vertical="top" wrapText="1"/>
    </xf>
    <xf numFmtId="0" fontId="15" fillId="0" borderId="37" xfId="0" applyFont="1" applyBorder="1" applyAlignment="1">
      <alignment horizontal="left" vertical="top" wrapText="1"/>
    </xf>
    <xf numFmtId="0" fontId="15" fillId="0" borderId="0" xfId="0" applyFont="1" applyAlignment="1">
      <alignment horizontal="left" vertical="top" wrapText="1"/>
    </xf>
    <xf numFmtId="0" fontId="15" fillId="0" borderId="41" xfId="0" applyFont="1" applyBorder="1" applyAlignment="1">
      <alignment horizontal="left" vertical="top" wrapText="1"/>
    </xf>
    <xf numFmtId="0" fontId="15" fillId="0" borderId="30" xfId="0" applyFont="1" applyBorder="1" applyAlignment="1">
      <alignment horizontal="left" vertical="top" wrapText="1"/>
    </xf>
    <xf numFmtId="0" fontId="15" fillId="0" borderId="31" xfId="0" applyFont="1" applyBorder="1" applyAlignment="1">
      <alignment horizontal="left" vertical="top" wrapText="1"/>
    </xf>
    <xf numFmtId="0" fontId="15" fillId="0" borderId="49" xfId="0" applyFont="1" applyBorder="1" applyAlignment="1">
      <alignment horizontal="left" vertical="top" wrapText="1"/>
    </xf>
    <xf numFmtId="0" fontId="0" fillId="0" borderId="56" xfId="0" applyBorder="1" applyAlignment="1">
      <alignment horizontal="left" vertical="top" wrapText="1"/>
    </xf>
    <xf numFmtId="0" fontId="0" fillId="0" borderId="58" xfId="0" applyBorder="1" applyAlignment="1">
      <alignment horizontal="left" vertical="top" wrapText="1"/>
    </xf>
    <xf numFmtId="0" fontId="0" fillId="0" borderId="57" xfId="0" applyBorder="1" applyAlignment="1">
      <alignment horizontal="left" vertical="top" wrapText="1"/>
    </xf>
    <xf numFmtId="0" fontId="0" fillId="0" borderId="37" xfId="0" applyBorder="1" applyAlignment="1">
      <alignment horizontal="left" vertical="top" wrapText="1"/>
    </xf>
    <xf numFmtId="0" fontId="0" fillId="0" borderId="41" xfId="0" applyBorder="1" applyAlignment="1">
      <alignment horizontal="left" vertical="top" wrapText="1"/>
    </xf>
    <xf numFmtId="0" fontId="0" fillId="0" borderId="30" xfId="0" applyBorder="1" applyAlignment="1">
      <alignment horizontal="left" vertical="top" wrapText="1"/>
    </xf>
    <xf numFmtId="0" fontId="0" fillId="0" borderId="31" xfId="0" applyBorder="1" applyAlignment="1">
      <alignment horizontal="left" vertical="top" wrapText="1"/>
    </xf>
    <xf numFmtId="0" fontId="0" fillId="0" borderId="49" xfId="0" applyBorder="1" applyAlignment="1">
      <alignment horizontal="left" vertical="top" wrapText="1"/>
    </xf>
    <xf numFmtId="0" fontId="0" fillId="0" borderId="56" xfId="0" applyBorder="1" applyAlignment="1" applyProtection="1">
      <alignment horizontal="justify" vertical="top" wrapText="1"/>
      <protection locked="0"/>
    </xf>
    <xf numFmtId="0" fontId="1" fillId="0" borderId="58" xfId="0" applyFont="1" applyBorder="1" applyAlignment="1" applyProtection="1">
      <alignment horizontal="justify" vertical="top" wrapText="1"/>
      <protection locked="0"/>
    </xf>
    <xf numFmtId="0" fontId="1" fillId="0" borderId="57" xfId="0" applyFont="1" applyBorder="1" applyAlignment="1" applyProtection="1">
      <alignment horizontal="justify" vertical="top" wrapText="1"/>
      <protection locked="0"/>
    </xf>
    <xf numFmtId="0" fontId="1" fillId="0" borderId="37" xfId="0" applyFont="1" applyBorder="1" applyAlignment="1" applyProtection="1">
      <alignment horizontal="justify" vertical="top" wrapText="1"/>
      <protection locked="0"/>
    </xf>
    <xf numFmtId="0" fontId="1" fillId="0" borderId="0" xfId="0" applyFont="1" applyAlignment="1" applyProtection="1">
      <alignment horizontal="justify" vertical="top" wrapText="1"/>
      <protection locked="0"/>
    </xf>
    <xf numFmtId="0" fontId="1" fillId="0" borderId="41" xfId="0" applyFont="1" applyBorder="1" applyAlignment="1" applyProtection="1">
      <alignment horizontal="justify" vertical="top" wrapText="1"/>
      <protection locked="0"/>
    </xf>
    <xf numFmtId="0" fontId="1" fillId="0" borderId="30" xfId="0" applyFont="1" applyBorder="1" applyAlignment="1" applyProtection="1">
      <alignment horizontal="justify" vertical="top" wrapText="1"/>
      <protection locked="0"/>
    </xf>
    <xf numFmtId="0" fontId="1" fillId="0" borderId="31" xfId="0" applyFont="1" applyBorder="1" applyAlignment="1" applyProtection="1">
      <alignment horizontal="justify" vertical="top" wrapText="1"/>
      <protection locked="0"/>
    </xf>
    <xf numFmtId="0" fontId="1" fillId="0" borderId="49" xfId="0" applyFont="1" applyBorder="1" applyAlignment="1" applyProtection="1">
      <alignment horizontal="justify" vertical="top" wrapText="1"/>
      <protection locked="0"/>
    </xf>
    <xf numFmtId="0" fontId="2" fillId="6" borderId="62" xfId="0" applyFont="1" applyFill="1" applyBorder="1" applyAlignment="1">
      <alignment horizontal="center" vertical="center" wrapText="1"/>
    </xf>
    <xf numFmtId="0" fontId="2" fillId="6" borderId="63" xfId="0" applyFont="1" applyFill="1" applyBorder="1" applyAlignment="1">
      <alignment horizontal="center" vertical="center" wrapText="1"/>
    </xf>
    <xf numFmtId="0" fontId="2" fillId="6" borderId="47" xfId="0" applyFont="1" applyFill="1" applyBorder="1" applyAlignment="1">
      <alignment horizontal="center" vertical="center" textRotation="90"/>
    </xf>
    <xf numFmtId="0" fontId="2" fillId="6" borderId="1" xfId="0" applyFont="1" applyFill="1" applyBorder="1" applyAlignment="1">
      <alignment horizontal="center" vertical="center"/>
    </xf>
    <xf numFmtId="0" fontId="2" fillId="6" borderId="61" xfId="0" applyFont="1" applyFill="1" applyBorder="1" applyAlignment="1">
      <alignment horizontal="center" vertical="center"/>
    </xf>
    <xf numFmtId="0" fontId="2" fillId="6" borderId="61" xfId="0" applyFont="1" applyFill="1" applyBorder="1" applyAlignment="1">
      <alignment horizontal="center" vertical="center" textRotation="90"/>
    </xf>
    <xf numFmtId="0" fontId="2" fillId="6" borderId="48" xfId="0" applyFont="1" applyFill="1" applyBorder="1" applyAlignment="1">
      <alignment horizontal="center" vertical="center" textRotation="90"/>
    </xf>
    <xf numFmtId="0" fontId="15" fillId="6" borderId="5" xfId="0" applyFont="1" applyFill="1" applyBorder="1" applyAlignment="1">
      <alignment horizontal="left" vertical="center" wrapText="1"/>
    </xf>
    <xf numFmtId="0" fontId="15" fillId="0" borderId="6" xfId="0" applyFont="1" applyBorder="1" applyAlignment="1">
      <alignment horizontal="left" vertical="center"/>
    </xf>
    <xf numFmtId="0" fontId="15" fillId="0" borderId="46" xfId="0" applyFont="1" applyBorder="1" applyAlignment="1">
      <alignment horizontal="left" vertical="center"/>
    </xf>
    <xf numFmtId="0" fontId="16" fillId="0" borderId="28" xfId="4" applyBorder="1" applyAlignment="1" applyProtection="1">
      <alignment horizontal="left" vertical="center" wrapText="1"/>
    </xf>
    <xf numFmtId="0" fontId="15" fillId="0" borderId="15" xfId="0" applyFont="1" applyBorder="1" applyAlignment="1">
      <alignment horizontal="left" vertical="center" wrapText="1"/>
    </xf>
    <xf numFmtId="0" fontId="15" fillId="0" borderId="29" xfId="0" applyFont="1" applyBorder="1" applyAlignment="1">
      <alignment horizontal="left" vertical="center" wrapText="1"/>
    </xf>
    <xf numFmtId="0" fontId="15" fillId="0" borderId="7" xfId="0" applyFont="1" applyBorder="1" applyAlignment="1">
      <alignment horizontal="left" vertical="center"/>
    </xf>
    <xf numFmtId="0" fontId="46" fillId="6" borderId="1" xfId="4" applyFont="1" applyFill="1" applyBorder="1" applyAlignment="1" applyProtection="1">
      <alignment horizontal="left" vertical="center" wrapText="1"/>
    </xf>
    <xf numFmtId="0" fontId="15" fillId="0" borderId="5" xfId="0" applyFont="1" applyBorder="1" applyAlignment="1">
      <alignment horizontal="left" vertical="center"/>
    </xf>
    <xf numFmtId="0" fontId="15" fillId="6" borderId="2" xfId="0" applyFont="1" applyFill="1" applyBorder="1" applyAlignment="1">
      <alignment horizontal="left" vertical="center" wrapText="1"/>
    </xf>
    <xf numFmtId="0" fontId="16" fillId="6" borderId="45" xfId="4" applyFill="1" applyBorder="1" applyAlignment="1" applyProtection="1">
      <alignment horizontal="left" vertical="top" wrapText="1"/>
    </xf>
    <xf numFmtId="0" fontId="15" fillId="6" borderId="45" xfId="0" applyFont="1" applyFill="1" applyBorder="1" applyAlignment="1">
      <alignment horizontal="left" vertical="top" wrapText="1"/>
    </xf>
    <xf numFmtId="0" fontId="2" fillId="6" borderId="30" xfId="0" applyFont="1" applyFill="1" applyBorder="1" applyAlignment="1">
      <alignment horizontal="center" vertical="center"/>
    </xf>
    <xf numFmtId="0" fontId="2" fillId="6" borderId="31" xfId="0" applyFont="1" applyFill="1" applyBorder="1" applyAlignment="1">
      <alignment horizontal="center" vertical="center"/>
    </xf>
    <xf numFmtId="0" fontId="2" fillId="6" borderId="49" xfId="0" applyFont="1" applyFill="1" applyBorder="1" applyAlignment="1">
      <alignment horizontal="center" vertical="center"/>
    </xf>
    <xf numFmtId="2" fontId="7" fillId="8" borderId="30" xfId="0" applyNumberFormat="1" applyFont="1" applyFill="1" applyBorder="1" applyAlignment="1">
      <alignment horizontal="center" vertical="center"/>
    </xf>
    <xf numFmtId="2" fontId="7" fillId="8" borderId="49" xfId="0" applyNumberFormat="1" applyFont="1" applyFill="1" applyBorder="1" applyAlignment="1">
      <alignment horizontal="center" vertical="center"/>
    </xf>
    <xf numFmtId="2" fontId="2" fillId="9" borderId="21" xfId="0" applyNumberFormat="1" applyFont="1" applyFill="1" applyBorder="1" applyAlignment="1">
      <alignment horizontal="center"/>
    </xf>
    <xf numFmtId="2" fontId="2" fillId="9" borderId="13" xfId="0" applyNumberFormat="1" applyFont="1" applyFill="1" applyBorder="1" applyAlignment="1">
      <alignment horizontal="center"/>
    </xf>
    <xf numFmtId="0" fontId="2" fillId="6" borderId="46" xfId="0" applyFont="1" applyFill="1" applyBorder="1" applyAlignment="1">
      <alignment horizontal="center" vertical="center"/>
    </xf>
    <xf numFmtId="2" fontId="7" fillId="8" borderId="21" xfId="0" applyNumberFormat="1" applyFont="1" applyFill="1" applyBorder="1" applyAlignment="1">
      <alignment horizontal="center" vertical="center"/>
    </xf>
    <xf numFmtId="2" fontId="7" fillId="8" borderId="13" xfId="0" applyNumberFormat="1" applyFont="1" applyFill="1" applyBorder="1" applyAlignment="1">
      <alignment horizontal="center" vertical="center"/>
    </xf>
    <xf numFmtId="0" fontId="7" fillId="6" borderId="21" xfId="0" applyFont="1" applyFill="1" applyBorder="1" applyAlignment="1">
      <alignment horizontal="center" vertical="center"/>
    </xf>
    <xf numFmtId="0" fontId="7" fillId="6" borderId="19" xfId="0" applyFont="1" applyFill="1" applyBorder="1" applyAlignment="1">
      <alignment horizontal="center" vertical="center"/>
    </xf>
    <xf numFmtId="0" fontId="7" fillId="6" borderId="13" xfId="0" applyFont="1" applyFill="1" applyBorder="1" applyAlignment="1">
      <alignment horizontal="center" vertical="center"/>
    </xf>
    <xf numFmtId="0" fontId="7" fillId="6" borderId="56" xfId="0" applyFont="1" applyFill="1" applyBorder="1" applyAlignment="1">
      <alignment horizontal="center" vertical="center"/>
    </xf>
    <xf numFmtId="0" fontId="7" fillId="6" borderId="58" xfId="0" applyFont="1" applyFill="1" applyBorder="1" applyAlignment="1">
      <alignment horizontal="center" vertical="center"/>
    </xf>
    <xf numFmtId="0" fontId="7" fillId="6" borderId="57" xfId="0" applyFont="1" applyFill="1" applyBorder="1" applyAlignment="1">
      <alignment horizontal="center" vertical="center"/>
    </xf>
    <xf numFmtId="2" fontId="2" fillId="7" borderId="56" xfId="0" applyNumberFormat="1" applyFont="1" applyFill="1" applyBorder="1" applyAlignment="1">
      <alignment horizontal="center"/>
    </xf>
    <xf numFmtId="2" fontId="2" fillId="7" borderId="57" xfId="0" applyNumberFormat="1" applyFont="1" applyFill="1" applyBorder="1" applyAlignment="1">
      <alignment horizontal="center"/>
    </xf>
    <xf numFmtId="2" fontId="2" fillId="0" borderId="45" xfId="0" applyNumberFormat="1" applyFont="1" applyBorder="1" applyAlignment="1">
      <alignment horizontal="center"/>
    </xf>
    <xf numFmtId="2" fontId="2" fillId="0" borderId="3" xfId="0" applyNumberFormat="1" applyFont="1" applyBorder="1" applyAlignment="1">
      <alignment horizontal="center"/>
    </xf>
    <xf numFmtId="0" fontId="7" fillId="12" borderId="20" xfId="0" applyFont="1" applyFill="1" applyBorder="1" applyAlignment="1">
      <alignment horizontal="left" vertical="center"/>
    </xf>
    <xf numFmtId="0" fontId="7" fillId="12" borderId="44" xfId="0" applyFont="1" applyFill="1" applyBorder="1" applyAlignment="1">
      <alignment horizontal="left" vertical="center"/>
    </xf>
    <xf numFmtId="0" fontId="7" fillId="12" borderId="12" xfId="0" applyFont="1" applyFill="1" applyBorder="1" applyAlignment="1">
      <alignment horizontal="left" vertical="center"/>
    </xf>
    <xf numFmtId="2" fontId="2" fillId="12" borderId="20" xfId="0" applyNumberFormat="1" applyFont="1" applyFill="1" applyBorder="1" applyAlignment="1">
      <alignment horizontal="center"/>
    </xf>
    <xf numFmtId="2" fontId="2" fillId="12" borderId="12" xfId="0" applyNumberFormat="1" applyFont="1" applyFill="1" applyBorder="1" applyAlignment="1">
      <alignment horizontal="center"/>
    </xf>
    <xf numFmtId="0" fontId="15" fillId="0" borderId="47" xfId="0" applyFont="1" applyBorder="1" applyAlignment="1">
      <alignment horizontal="left" vertical="center"/>
    </xf>
    <xf numFmtId="0" fontId="15" fillId="0" borderId="61" xfId="0" applyFont="1" applyBorder="1" applyAlignment="1">
      <alignment horizontal="left" vertical="center"/>
    </xf>
    <xf numFmtId="0" fontId="15" fillId="0" borderId="2" xfId="0" applyFont="1" applyBorder="1" applyAlignment="1">
      <alignment horizontal="left" vertical="center"/>
    </xf>
    <xf numFmtId="0" fontId="15" fillId="0" borderId="45" xfId="0" applyFont="1" applyBorder="1" applyAlignment="1">
      <alignment horizontal="left" vertical="center"/>
    </xf>
    <xf numFmtId="2" fontId="2" fillId="0" borderId="61" xfId="0" applyNumberFormat="1" applyFont="1" applyBorder="1" applyAlignment="1">
      <alignment horizontal="center"/>
    </xf>
    <xf numFmtId="2" fontId="2" fillId="0" borderId="48" xfId="0" applyNumberFormat="1" applyFont="1" applyBorder="1" applyAlignment="1">
      <alignment horizontal="center"/>
    </xf>
    <xf numFmtId="0" fontId="2" fillId="0" borderId="2" xfId="0" applyFont="1" applyBorder="1" applyAlignment="1">
      <alignment horizontal="center" vertical="center"/>
    </xf>
    <xf numFmtId="0" fontId="2" fillId="0" borderId="45" xfId="0" applyFont="1" applyBorder="1" applyAlignment="1">
      <alignment horizontal="center" vertical="center"/>
    </xf>
    <xf numFmtId="0" fontId="2" fillId="6" borderId="69" xfId="0" applyFont="1" applyFill="1" applyBorder="1" applyAlignment="1">
      <alignment horizontal="center" vertical="center"/>
    </xf>
    <xf numFmtId="0" fontId="2" fillId="6" borderId="69" xfId="0" applyFont="1" applyFill="1" applyBorder="1" applyAlignment="1">
      <alignment horizontal="center" vertical="center" wrapText="1"/>
    </xf>
    <xf numFmtId="0" fontId="2" fillId="6" borderId="69" xfId="0" applyFont="1" applyFill="1" applyBorder="1" applyAlignment="1">
      <alignment horizontal="center" vertical="center" textRotation="90"/>
    </xf>
    <xf numFmtId="0" fontId="1" fillId="6" borderId="69" xfId="0" applyFont="1" applyFill="1" applyBorder="1" applyAlignment="1">
      <alignment horizontal="center"/>
    </xf>
    <xf numFmtId="0" fontId="1" fillId="0" borderId="56" xfId="0" applyFont="1" applyBorder="1" applyAlignment="1">
      <alignment horizontal="left" vertical="top" wrapText="1"/>
    </xf>
    <xf numFmtId="0" fontId="0" fillId="0" borderId="27" xfId="0" applyBorder="1" applyAlignment="1">
      <alignment horizontal="center" vertical="center"/>
    </xf>
    <xf numFmtId="0" fontId="0" fillId="0" borderId="11" xfId="0" applyBorder="1" applyAlignment="1">
      <alignment horizontal="center" vertical="center"/>
    </xf>
    <xf numFmtId="0" fontId="0" fillId="0" borderId="70" xfId="0" applyBorder="1" applyAlignment="1">
      <alignment horizontal="center" vertical="center"/>
    </xf>
    <xf numFmtId="0" fontId="0" fillId="0" borderId="79" xfId="0" applyBorder="1" applyAlignment="1">
      <alignment horizontal="center"/>
    </xf>
    <xf numFmtId="0" fontId="0" fillId="0" borderId="15" xfId="0" applyBorder="1" applyAlignment="1">
      <alignment horizontal="center"/>
    </xf>
    <xf numFmtId="0" fontId="0" fillId="0" borderId="29" xfId="0" applyBorder="1" applyAlignment="1">
      <alignment horizontal="center"/>
    </xf>
    <xf numFmtId="44" fontId="2" fillId="20" borderId="28" xfId="0" applyNumberFormat="1" applyFont="1" applyFill="1" applyBorder="1" applyAlignment="1">
      <alignment horizontal="center"/>
    </xf>
    <xf numFmtId="44" fontId="2" fillId="20" borderId="80" xfId="0" applyNumberFormat="1" applyFont="1" applyFill="1" applyBorder="1" applyAlignment="1">
      <alignment horizontal="center"/>
    </xf>
    <xf numFmtId="0" fontId="16" fillId="0" borderId="61" xfId="4" applyBorder="1" applyAlignment="1" applyProtection="1">
      <alignment horizontal="left" vertical="center" wrapText="1"/>
    </xf>
    <xf numFmtId="0" fontId="15" fillId="0" borderId="61" xfId="0" applyFont="1" applyBorder="1" applyAlignment="1">
      <alignment horizontal="left" vertical="center" wrapText="1"/>
    </xf>
    <xf numFmtId="0" fontId="15" fillId="0" borderId="48" xfId="0" applyFont="1" applyBorder="1" applyAlignment="1">
      <alignment horizontal="left" vertical="center"/>
    </xf>
    <xf numFmtId="0" fontId="43" fillId="6" borderId="1" xfId="0" applyFont="1" applyFill="1" applyBorder="1" applyAlignment="1">
      <alignment horizontal="left" vertical="center" wrapText="1"/>
    </xf>
    <xf numFmtId="0" fontId="43" fillId="6" borderId="4" xfId="0" applyFont="1" applyFill="1" applyBorder="1" applyAlignment="1">
      <alignment horizontal="left" vertical="center" wrapText="1"/>
    </xf>
    <xf numFmtId="0" fontId="16" fillId="0" borderId="1" xfId="4" applyBorder="1" applyAlignment="1" applyProtection="1">
      <alignment horizontal="left" vertical="center"/>
    </xf>
    <xf numFmtId="0" fontId="43" fillId="6" borderId="45" xfId="0" applyFont="1" applyFill="1" applyBorder="1" applyAlignment="1">
      <alignment horizontal="left" vertical="center" wrapText="1"/>
    </xf>
    <xf numFmtId="0" fontId="43" fillId="6" borderId="3" xfId="0" applyFont="1" applyFill="1" applyBorder="1" applyAlignment="1">
      <alignment horizontal="left" vertical="center" wrapText="1"/>
    </xf>
    <xf numFmtId="3" fontId="43" fillId="0" borderId="1" xfId="0" applyNumberFormat="1" applyFont="1" applyBorder="1" applyAlignment="1">
      <alignment horizontal="left" vertical="center"/>
    </xf>
    <xf numFmtId="0" fontId="43" fillId="0" borderId="4" xfId="0" applyFont="1" applyBorder="1" applyAlignment="1">
      <alignment horizontal="left" vertical="center"/>
    </xf>
    <xf numFmtId="0" fontId="12" fillId="4" borderId="21" xfId="0" applyFont="1" applyFill="1" applyBorder="1" applyAlignment="1">
      <alignment horizontal="center" vertical="center"/>
    </xf>
    <xf numFmtId="0" fontId="12" fillId="4" borderId="19" xfId="0" applyFont="1" applyFill="1" applyBorder="1" applyAlignment="1">
      <alignment horizontal="center" vertical="center"/>
    </xf>
    <xf numFmtId="0" fontId="12" fillId="4" borderId="13" xfId="0" applyFont="1" applyFill="1" applyBorder="1" applyAlignment="1">
      <alignment horizontal="center" vertical="center"/>
    </xf>
    <xf numFmtId="0" fontId="2" fillId="4" borderId="20" xfId="0" applyFont="1" applyFill="1" applyBorder="1" applyAlignment="1">
      <alignment horizontal="center" vertical="center"/>
    </xf>
    <xf numFmtId="0" fontId="2" fillId="4" borderId="44" xfId="0" applyFont="1" applyFill="1" applyBorder="1" applyAlignment="1">
      <alignment horizontal="center" vertical="center"/>
    </xf>
    <xf numFmtId="0" fontId="2" fillId="4" borderId="12" xfId="0" applyFont="1" applyFill="1" applyBorder="1" applyAlignment="1">
      <alignment horizontal="center" vertical="center"/>
    </xf>
    <xf numFmtId="0" fontId="2" fillId="0" borderId="9" xfId="0" applyFont="1" applyBorder="1" applyAlignment="1">
      <alignment horizontal="center" vertical="center"/>
    </xf>
    <xf numFmtId="0" fontId="13" fillId="4" borderId="21" xfId="0" applyFont="1" applyFill="1" applyBorder="1" applyAlignment="1">
      <alignment horizontal="center" vertical="center"/>
    </xf>
    <xf numFmtId="0" fontId="13" fillId="4" borderId="19" xfId="0" applyFont="1" applyFill="1" applyBorder="1" applyAlignment="1">
      <alignment horizontal="center" vertical="center"/>
    </xf>
    <xf numFmtId="0" fontId="13" fillId="4" borderId="13" xfId="0" applyFont="1" applyFill="1" applyBorder="1" applyAlignment="1">
      <alignment horizontal="center" vertical="center"/>
    </xf>
    <xf numFmtId="0" fontId="2" fillId="0" borderId="30" xfId="0" applyFont="1" applyBorder="1" applyAlignment="1">
      <alignment horizontal="center" vertical="center"/>
    </xf>
    <xf numFmtId="0" fontId="2" fillId="0" borderId="31" xfId="0" applyFont="1" applyBorder="1" applyAlignment="1">
      <alignment horizontal="center" vertical="center"/>
    </xf>
    <xf numFmtId="0" fontId="2" fillId="0" borderId="49" xfId="0" applyFont="1" applyBorder="1" applyAlignment="1">
      <alignment horizontal="center" vertical="center"/>
    </xf>
    <xf numFmtId="0" fontId="2" fillId="0" borderId="21" xfId="0" applyFont="1" applyBorder="1" applyAlignment="1">
      <alignment horizontal="center"/>
    </xf>
    <xf numFmtId="0" fontId="2" fillId="0" borderId="19" xfId="0" applyFont="1" applyBorder="1" applyAlignment="1">
      <alignment horizontal="center"/>
    </xf>
    <xf numFmtId="0" fontId="2" fillId="0" borderId="13" xfId="0" applyFont="1" applyBorder="1" applyAlignment="1">
      <alignment horizontal="center"/>
    </xf>
    <xf numFmtId="0" fontId="7" fillId="4" borderId="19" xfId="0" applyFont="1" applyFill="1" applyBorder="1" applyAlignment="1">
      <alignment horizontal="center" vertical="center"/>
    </xf>
    <xf numFmtId="0" fontId="2" fillId="0" borderId="37" xfId="0" applyFont="1" applyBorder="1" applyAlignment="1">
      <alignment horizontal="center" vertical="center"/>
    </xf>
    <xf numFmtId="0" fontId="2" fillId="0" borderId="41" xfId="0" applyFont="1" applyBorder="1" applyAlignment="1">
      <alignment horizontal="center" vertical="center"/>
    </xf>
    <xf numFmtId="0" fontId="2" fillId="0" borderId="0" xfId="0" applyFont="1" applyAlignment="1">
      <alignment horizontal="center" vertical="center"/>
    </xf>
    <xf numFmtId="0" fontId="6" fillId="0" borderId="33" xfId="0" applyFont="1" applyBorder="1" applyAlignment="1">
      <alignment horizontal="left"/>
    </xf>
    <xf numFmtId="0" fontId="6" fillId="0" borderId="0" xfId="0" applyFont="1" applyAlignment="1">
      <alignment horizontal="left"/>
    </xf>
    <xf numFmtId="0" fontId="6" fillId="0" borderId="23" xfId="0" applyFont="1" applyBorder="1" applyAlignment="1">
      <alignment horizontal="left"/>
    </xf>
    <xf numFmtId="0" fontId="0" fillId="0" borderId="0" xfId="0" applyAlignment="1">
      <alignment horizontal="left" vertical="center"/>
    </xf>
    <xf numFmtId="0" fontId="2" fillId="0" borderId="21" xfId="0" applyFont="1" applyBorder="1" applyAlignment="1">
      <alignment horizontal="left" vertical="center"/>
    </xf>
    <xf numFmtId="0" fontId="2" fillId="0" borderId="19" xfId="0" applyFont="1" applyBorder="1" applyAlignment="1">
      <alignment horizontal="left" vertical="center"/>
    </xf>
    <xf numFmtId="0" fontId="2" fillId="0" borderId="13" xfId="0" applyFont="1" applyBorder="1" applyAlignment="1">
      <alignment horizontal="left" vertical="center"/>
    </xf>
    <xf numFmtId="0" fontId="26" fillId="4" borderId="21" xfId="0" applyFont="1" applyFill="1" applyBorder="1" applyAlignment="1">
      <alignment horizontal="center" vertical="center"/>
    </xf>
    <xf numFmtId="0" fontId="26" fillId="4" borderId="19" xfId="0" applyFont="1" applyFill="1" applyBorder="1" applyAlignment="1">
      <alignment horizontal="center" vertical="center"/>
    </xf>
    <xf numFmtId="0" fontId="26" fillId="4" borderId="13" xfId="0" applyFont="1" applyFill="1" applyBorder="1" applyAlignment="1">
      <alignment horizontal="center" vertical="center"/>
    </xf>
    <xf numFmtId="0" fontId="0" fillId="0" borderId="0" xfId="0" quotePrefix="1" applyAlignment="1">
      <alignment horizontal="left" vertical="center" wrapText="1"/>
    </xf>
    <xf numFmtId="0" fontId="0" fillId="0" borderId="0" xfId="0" quotePrefix="1" applyAlignment="1">
      <alignment horizontal="left" vertical="center" wrapText="1" indent="1"/>
    </xf>
    <xf numFmtId="0" fontId="0" fillId="0" borderId="25" xfId="0" applyBorder="1" applyAlignment="1">
      <alignment horizontal="left" wrapText="1"/>
    </xf>
    <xf numFmtId="0" fontId="0" fillId="0" borderId="11" xfId="0" applyBorder="1" applyAlignment="1">
      <alignment horizontal="left" wrapText="1"/>
    </xf>
    <xf numFmtId="0" fontId="0" fillId="0" borderId="26" xfId="0" applyBorder="1" applyAlignment="1">
      <alignment horizontal="left" wrapText="1"/>
    </xf>
    <xf numFmtId="0" fontId="0" fillId="0" borderId="0" xfId="0" applyAlignment="1">
      <alignment horizontal="left" wrapText="1"/>
    </xf>
    <xf numFmtId="0" fontId="2" fillId="0" borderId="0" xfId="0" quotePrefix="1" applyFont="1" applyAlignment="1">
      <alignment horizontal="left" vertical="center" wrapText="1"/>
    </xf>
    <xf numFmtId="0" fontId="2" fillId="0" borderId="21" xfId="0" quotePrefix="1" applyFont="1" applyBorder="1" applyAlignment="1">
      <alignment horizontal="center" vertical="center" wrapText="1"/>
    </xf>
    <xf numFmtId="0" fontId="2" fillId="0" borderId="19" xfId="0" quotePrefix="1" applyFont="1" applyBorder="1" applyAlignment="1">
      <alignment horizontal="center" vertical="center" wrapText="1"/>
    </xf>
    <xf numFmtId="0" fontId="2" fillId="0" borderId="13" xfId="0" quotePrefix="1" applyFont="1" applyBorder="1" applyAlignment="1">
      <alignment horizontal="center" vertical="center" wrapText="1"/>
    </xf>
    <xf numFmtId="0" fontId="2" fillId="0" borderId="1" xfId="0" applyFont="1" applyBorder="1" applyAlignment="1">
      <alignment horizontal="left" wrapText="1"/>
    </xf>
    <xf numFmtId="10" fontId="37" fillId="14" borderId="68" xfId="0" applyNumberFormat="1" applyFont="1" applyFill="1" applyBorder="1" applyAlignment="1">
      <alignment horizontal="center" vertical="center" wrapText="1"/>
    </xf>
    <xf numFmtId="10" fontId="37" fillId="14" borderId="65" xfId="0" applyNumberFormat="1" applyFont="1" applyFill="1" applyBorder="1" applyAlignment="1">
      <alignment horizontal="center" vertical="center" wrapText="1"/>
    </xf>
    <xf numFmtId="0" fontId="40" fillId="0" borderId="1" xfId="0" applyFont="1" applyBorder="1" applyAlignment="1">
      <alignment horizontal="center" vertical="center" wrapText="1"/>
    </xf>
    <xf numFmtId="0" fontId="5" fillId="0" borderId="1" xfId="0" applyFont="1" applyBorder="1" applyAlignment="1">
      <alignment horizontal="left" vertical="center" wrapText="1"/>
    </xf>
    <xf numFmtId="0" fontId="0" fillId="0" borderId="1" xfId="0" applyBorder="1" applyAlignment="1">
      <alignment horizontal="left" vertical="center" wrapText="1"/>
    </xf>
  </cellXfs>
  <cellStyles count="11">
    <cellStyle name="Hiperlink" xfId="4" builtinId="8"/>
    <cellStyle name="Hyperlink" xfId="6" xr:uid="{0C4028F5-2A56-46D9-AFF4-C8897231BF5C}"/>
    <cellStyle name="Moeda" xfId="1" builtinId="4"/>
    <cellStyle name="Normal" xfId="0" builtinId="0"/>
    <cellStyle name="Normal 2" xfId="9" xr:uid="{7BB5D3A6-1FA9-479C-9476-D01781B785E7}"/>
    <cellStyle name="Normal 2 2" xfId="10" xr:uid="{A2F40759-24E5-4516-9DE5-510B021649EB}"/>
    <cellStyle name="Porcentagem" xfId="2" builtinId="5"/>
    <cellStyle name="Vírgula" xfId="3" builtinId="3"/>
    <cellStyle name="Vírgula 2" xfId="7" xr:uid="{AFC46FAE-E179-4D01-85FA-592B5792BC5A}"/>
    <cellStyle name="Vírgula 3" xfId="5" xr:uid="{00000000-0005-0000-0000-000005000000}"/>
    <cellStyle name="Vírgula 4" xfId="8" xr:uid="{6CEC04D6-62A0-4B47-A976-6284296A33F7}"/>
  </cellStyles>
  <dxfs count="0"/>
  <tableStyles count="0" defaultTableStyle="TableStyleMedium9" defaultPivotStyle="PivotStyleLight16"/>
  <colors>
    <mruColors>
      <color rgb="FF0000FF"/>
      <color rgb="FFFFFFCC"/>
      <color rgb="FF66FF33"/>
      <color rgb="FF99CC00"/>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sheetMetadata" Target="metadata.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12</xdr:col>
      <xdr:colOff>133350</xdr:colOff>
      <xdr:row>1</xdr:row>
      <xdr:rowOff>9525</xdr:rowOff>
    </xdr:from>
    <xdr:to>
      <xdr:col>19</xdr:col>
      <xdr:colOff>438150</xdr:colOff>
      <xdr:row>12</xdr:row>
      <xdr:rowOff>57150</xdr:rowOff>
    </xdr:to>
    <xdr:pic>
      <xdr:nvPicPr>
        <xdr:cNvPr id="2" name="Imagem 1">
          <a:extLst>
            <a:ext uri="{FF2B5EF4-FFF2-40B4-BE49-F238E27FC236}">
              <a16:creationId xmlns:a16="http://schemas.microsoft.com/office/drawing/2014/main" id="{B880CACA-D596-B97A-5CEE-48B9D9BBF670}"/>
            </a:ext>
          </a:extLst>
        </xdr:cNvPr>
        <xdr:cNvPicPr>
          <a:picLocks noChangeAspect="1"/>
        </xdr:cNvPicPr>
      </xdr:nvPicPr>
      <xdr:blipFill>
        <a:blip xmlns:r="http://schemas.openxmlformats.org/officeDocument/2006/relationships" r:embed="rId1"/>
        <a:stretch>
          <a:fillRect/>
        </a:stretch>
      </xdr:blipFill>
      <xdr:spPr>
        <a:xfrm>
          <a:off x="14935200" y="171450"/>
          <a:ext cx="4572000" cy="1828800"/>
        </a:xfrm>
        <a:prstGeom prst="rect">
          <a:avLst/>
        </a:prstGeom>
      </xdr:spPr>
    </xdr:pic>
    <xdr:clientData/>
  </xdr:twoCellAnchor>
  <xdr:twoCellAnchor editAs="oneCell">
    <xdr:from>
      <xdr:col>12</xdr:col>
      <xdr:colOff>161925</xdr:colOff>
      <xdr:row>12</xdr:row>
      <xdr:rowOff>28575</xdr:rowOff>
    </xdr:from>
    <xdr:to>
      <xdr:col>19</xdr:col>
      <xdr:colOff>466725</xdr:colOff>
      <xdr:row>13</xdr:row>
      <xdr:rowOff>142875</xdr:rowOff>
    </xdr:to>
    <xdr:pic>
      <xdr:nvPicPr>
        <xdr:cNvPr id="3" name="Imagem 2">
          <a:extLst>
            <a:ext uri="{FF2B5EF4-FFF2-40B4-BE49-F238E27FC236}">
              <a16:creationId xmlns:a16="http://schemas.microsoft.com/office/drawing/2014/main" id="{49F7D513-BD35-E19E-1B36-E22A134B8ECE}"/>
            </a:ext>
            <a:ext uri="{147F2762-F138-4A5C-976F-8EAC2B608ADB}">
              <a16:predDERef xmlns:a16="http://schemas.microsoft.com/office/drawing/2014/main" pred="{B880CACA-D596-B97A-5CEE-48B9D9BBF670}"/>
            </a:ext>
          </a:extLst>
        </xdr:cNvPr>
        <xdr:cNvPicPr>
          <a:picLocks noChangeAspect="1"/>
        </xdr:cNvPicPr>
      </xdr:nvPicPr>
      <xdr:blipFill>
        <a:blip xmlns:r="http://schemas.openxmlformats.org/officeDocument/2006/relationships" r:embed="rId2"/>
        <a:stretch>
          <a:fillRect/>
        </a:stretch>
      </xdr:blipFill>
      <xdr:spPr>
        <a:xfrm>
          <a:off x="14963775" y="1971675"/>
          <a:ext cx="4572000" cy="276225"/>
        </a:xfrm>
        <a:prstGeom prst="rect">
          <a:avLst/>
        </a:prstGeom>
      </xdr:spPr>
    </xdr:pic>
    <xdr:clientData/>
  </xdr:twoCellAnchor>
  <xdr:twoCellAnchor editAs="oneCell">
    <xdr:from>
      <xdr:col>6</xdr:col>
      <xdr:colOff>0</xdr:colOff>
      <xdr:row>14</xdr:row>
      <xdr:rowOff>0</xdr:rowOff>
    </xdr:from>
    <xdr:to>
      <xdr:col>8</xdr:col>
      <xdr:colOff>409575</xdr:colOff>
      <xdr:row>26</xdr:row>
      <xdr:rowOff>104775</xdr:rowOff>
    </xdr:to>
    <xdr:pic>
      <xdr:nvPicPr>
        <xdr:cNvPr id="7" name="Imagem 6">
          <a:extLst>
            <a:ext uri="{FF2B5EF4-FFF2-40B4-BE49-F238E27FC236}">
              <a16:creationId xmlns:a16="http://schemas.microsoft.com/office/drawing/2014/main" id="{5DA7A6C0-1A3E-4217-099B-C24EC181F186}"/>
            </a:ext>
            <a:ext uri="{147F2762-F138-4A5C-976F-8EAC2B608ADB}">
              <a16:predDERef xmlns:a16="http://schemas.microsoft.com/office/drawing/2014/main" pred="{A552BA05-0C19-0F96-B5D0-CA11D0648EF0}"/>
            </a:ext>
          </a:extLst>
        </xdr:cNvPr>
        <xdr:cNvPicPr>
          <a:picLocks noChangeAspect="1"/>
        </xdr:cNvPicPr>
      </xdr:nvPicPr>
      <xdr:blipFill>
        <a:blip xmlns:r="http://schemas.openxmlformats.org/officeDocument/2006/relationships" r:embed="rId3"/>
        <a:stretch>
          <a:fillRect/>
        </a:stretch>
      </xdr:blipFill>
      <xdr:spPr>
        <a:xfrm>
          <a:off x="5429250" y="2257425"/>
          <a:ext cx="4191000" cy="1952625"/>
        </a:xfrm>
        <a:prstGeom prst="rect">
          <a:avLst/>
        </a:prstGeom>
      </xdr:spPr>
    </xdr:pic>
    <xdr:clientData/>
  </xdr:twoCellAnchor>
  <xdr:twoCellAnchor editAs="oneCell">
    <xdr:from>
      <xdr:col>6</xdr:col>
      <xdr:colOff>20782</xdr:colOff>
      <xdr:row>27</xdr:row>
      <xdr:rowOff>43007</xdr:rowOff>
    </xdr:from>
    <xdr:to>
      <xdr:col>8</xdr:col>
      <xdr:colOff>268432</xdr:colOff>
      <xdr:row>40</xdr:row>
      <xdr:rowOff>47625</xdr:rowOff>
    </xdr:to>
    <xdr:pic>
      <xdr:nvPicPr>
        <xdr:cNvPr id="8" name="Imagem 7">
          <a:extLst>
            <a:ext uri="{FF2B5EF4-FFF2-40B4-BE49-F238E27FC236}">
              <a16:creationId xmlns:a16="http://schemas.microsoft.com/office/drawing/2014/main" id="{5C886A4B-4A45-0A3B-DCEE-793F6B77AE87}"/>
            </a:ext>
            <a:ext uri="{147F2762-F138-4A5C-976F-8EAC2B608ADB}">
              <a16:predDERef xmlns:a16="http://schemas.microsoft.com/office/drawing/2014/main" pred="{5DA7A6C0-1A3E-4217-099B-C24EC181F186}"/>
            </a:ext>
          </a:extLst>
        </xdr:cNvPr>
        <xdr:cNvPicPr>
          <a:picLocks noChangeAspect="1"/>
        </xdr:cNvPicPr>
      </xdr:nvPicPr>
      <xdr:blipFill>
        <a:blip xmlns:r="http://schemas.openxmlformats.org/officeDocument/2006/relationships" r:embed="rId4"/>
        <a:stretch>
          <a:fillRect/>
        </a:stretch>
      </xdr:blipFill>
      <xdr:spPr>
        <a:xfrm>
          <a:off x="5640532" y="4485121"/>
          <a:ext cx="4178877" cy="2145722"/>
        </a:xfrm>
        <a:prstGeom prst="rect">
          <a:avLst/>
        </a:prstGeom>
      </xdr:spPr>
    </xdr:pic>
    <xdr:clientData/>
  </xdr:twoCellAnchor>
  <xdr:twoCellAnchor editAs="oneCell">
    <xdr:from>
      <xdr:col>6</xdr:col>
      <xdr:colOff>66963</xdr:colOff>
      <xdr:row>42</xdr:row>
      <xdr:rowOff>58304</xdr:rowOff>
    </xdr:from>
    <xdr:to>
      <xdr:col>8</xdr:col>
      <xdr:colOff>390813</xdr:colOff>
      <xdr:row>47</xdr:row>
      <xdr:rowOff>140277</xdr:rowOff>
    </xdr:to>
    <xdr:pic>
      <xdr:nvPicPr>
        <xdr:cNvPr id="9" name="Imagem 8">
          <a:extLst>
            <a:ext uri="{FF2B5EF4-FFF2-40B4-BE49-F238E27FC236}">
              <a16:creationId xmlns:a16="http://schemas.microsoft.com/office/drawing/2014/main" id="{8ECC28CF-457B-7AF9-3F66-6472AAAFB128}"/>
            </a:ext>
            <a:ext uri="{147F2762-F138-4A5C-976F-8EAC2B608ADB}">
              <a16:predDERef xmlns:a16="http://schemas.microsoft.com/office/drawing/2014/main" pred="{5C886A4B-4A45-0A3B-DCEE-793F6B77AE87}"/>
            </a:ext>
          </a:extLst>
        </xdr:cNvPr>
        <xdr:cNvPicPr>
          <a:picLocks noChangeAspect="1"/>
        </xdr:cNvPicPr>
      </xdr:nvPicPr>
      <xdr:blipFill>
        <a:blip xmlns:r="http://schemas.openxmlformats.org/officeDocument/2006/relationships" r:embed="rId5"/>
        <a:stretch>
          <a:fillRect/>
        </a:stretch>
      </xdr:blipFill>
      <xdr:spPr>
        <a:xfrm>
          <a:off x="5686713" y="6985577"/>
          <a:ext cx="4255077" cy="930564"/>
        </a:xfrm>
        <a:prstGeom prst="rect">
          <a:avLst/>
        </a:prstGeom>
      </xdr:spPr>
    </xdr:pic>
    <xdr:clientData/>
  </xdr:twoCellAnchor>
  <xdr:twoCellAnchor editAs="oneCell">
    <xdr:from>
      <xdr:col>8</xdr:col>
      <xdr:colOff>476251</xdr:colOff>
      <xdr:row>32</xdr:row>
      <xdr:rowOff>8659</xdr:rowOff>
    </xdr:from>
    <xdr:to>
      <xdr:col>11</xdr:col>
      <xdr:colOff>216478</xdr:colOff>
      <xdr:row>40</xdr:row>
      <xdr:rowOff>102866</xdr:rowOff>
    </xdr:to>
    <xdr:pic>
      <xdr:nvPicPr>
        <xdr:cNvPr id="4" name="Imagem 3">
          <a:extLst>
            <a:ext uri="{FF2B5EF4-FFF2-40B4-BE49-F238E27FC236}">
              <a16:creationId xmlns:a16="http://schemas.microsoft.com/office/drawing/2014/main" id="{A8FB5D6E-CBAF-44E3-8791-288144CB01B5}"/>
            </a:ext>
          </a:extLst>
        </xdr:cNvPr>
        <xdr:cNvPicPr>
          <a:picLocks noChangeAspect="1"/>
        </xdr:cNvPicPr>
      </xdr:nvPicPr>
      <xdr:blipFill>
        <a:blip xmlns:r="http://schemas.openxmlformats.org/officeDocument/2006/relationships" r:embed="rId6"/>
        <a:stretch>
          <a:fillRect/>
        </a:stretch>
      </xdr:blipFill>
      <xdr:spPr>
        <a:xfrm>
          <a:off x="10027228" y="5273386"/>
          <a:ext cx="4615295" cy="141904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37</xdr:row>
      <xdr:rowOff>57150</xdr:rowOff>
    </xdr:from>
    <xdr:to>
      <xdr:col>1</xdr:col>
      <xdr:colOff>361950</xdr:colOff>
      <xdr:row>38</xdr:row>
      <xdr:rowOff>57150</xdr:rowOff>
    </xdr:to>
    <xdr:sp macro="" textlink="">
      <xdr:nvSpPr>
        <xdr:cNvPr id="32" name="Text Box 16">
          <a:extLst>
            <a:ext uri="{FF2B5EF4-FFF2-40B4-BE49-F238E27FC236}">
              <a16:creationId xmlns:a16="http://schemas.microsoft.com/office/drawing/2014/main" id="{07873614-8AE9-4C7C-9B66-BF4FC8631075}"/>
            </a:ext>
          </a:extLst>
        </xdr:cNvPr>
        <xdr:cNvSpPr txBox="1">
          <a:spLocks noChangeArrowheads="1"/>
        </xdr:cNvSpPr>
      </xdr:nvSpPr>
      <xdr:spPr bwMode="auto">
        <a:xfrm>
          <a:off x="66675" y="6692900"/>
          <a:ext cx="549275" cy="2159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37</xdr:row>
      <xdr:rowOff>57150</xdr:rowOff>
    </xdr:from>
    <xdr:to>
      <xdr:col>1</xdr:col>
      <xdr:colOff>361950</xdr:colOff>
      <xdr:row>38</xdr:row>
      <xdr:rowOff>57150</xdr:rowOff>
    </xdr:to>
    <xdr:sp macro="" textlink="">
      <xdr:nvSpPr>
        <xdr:cNvPr id="5" name="Text Box 16">
          <a:extLst>
            <a:ext uri="{FF2B5EF4-FFF2-40B4-BE49-F238E27FC236}">
              <a16:creationId xmlns:a16="http://schemas.microsoft.com/office/drawing/2014/main" id="{7B3FA573-3D02-412F-9689-94FA82664BE6}"/>
            </a:ext>
          </a:extLst>
        </xdr:cNvPr>
        <xdr:cNvSpPr txBox="1">
          <a:spLocks noChangeArrowheads="1"/>
        </xdr:cNvSpPr>
      </xdr:nvSpPr>
      <xdr:spPr bwMode="auto">
        <a:xfrm>
          <a:off x="66675" y="7734300"/>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28</xdr:row>
      <xdr:rowOff>104775</xdr:rowOff>
    </xdr:from>
    <xdr:to>
      <xdr:col>1</xdr:col>
      <xdr:colOff>1962150</xdr:colOff>
      <xdr:row>29</xdr:row>
      <xdr:rowOff>9525</xdr:rowOff>
    </xdr:to>
    <xdr:sp macro="" textlink="">
      <xdr:nvSpPr>
        <xdr:cNvPr id="11" name="Text Box 12">
          <a:extLst>
            <a:ext uri="{FF2B5EF4-FFF2-40B4-BE49-F238E27FC236}">
              <a16:creationId xmlns:a16="http://schemas.microsoft.com/office/drawing/2014/main" id="{2DBBBE26-F54C-470C-B792-9D3E9819359D}"/>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12" name="Text Box 13">
          <a:extLst>
            <a:ext uri="{FF2B5EF4-FFF2-40B4-BE49-F238E27FC236}">
              <a16:creationId xmlns:a16="http://schemas.microsoft.com/office/drawing/2014/main" id="{C6787082-F412-4415-A71E-3135F9F94137}"/>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13" name="Text Box 14">
          <a:extLst>
            <a:ext uri="{FF2B5EF4-FFF2-40B4-BE49-F238E27FC236}">
              <a16:creationId xmlns:a16="http://schemas.microsoft.com/office/drawing/2014/main" id="{CA58B5A3-1CEB-4931-A7A3-0355E9325591}"/>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14" name="Text Box 16">
          <a:extLst>
            <a:ext uri="{FF2B5EF4-FFF2-40B4-BE49-F238E27FC236}">
              <a16:creationId xmlns:a16="http://schemas.microsoft.com/office/drawing/2014/main" id="{519E170D-D205-49D6-8BF7-FB86AC473FA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15" name="Text Box 17">
          <a:extLst>
            <a:ext uri="{FF2B5EF4-FFF2-40B4-BE49-F238E27FC236}">
              <a16:creationId xmlns:a16="http://schemas.microsoft.com/office/drawing/2014/main" id="{868ADBBF-C4F1-42A0-9527-84BEBCC7A8D4}"/>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16" name="Text Box 18">
          <a:extLst>
            <a:ext uri="{FF2B5EF4-FFF2-40B4-BE49-F238E27FC236}">
              <a16:creationId xmlns:a16="http://schemas.microsoft.com/office/drawing/2014/main" id="{3FB7C2B5-DF86-476B-8407-339CD5FCC2FF}"/>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17" name="Text Box 32">
          <a:extLst>
            <a:ext uri="{FF2B5EF4-FFF2-40B4-BE49-F238E27FC236}">
              <a16:creationId xmlns:a16="http://schemas.microsoft.com/office/drawing/2014/main" id="{E4CAE121-2AD1-4A7A-A852-5F9B15BC6C7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18" name="Text Box 34">
          <a:extLst>
            <a:ext uri="{FF2B5EF4-FFF2-40B4-BE49-F238E27FC236}">
              <a16:creationId xmlns:a16="http://schemas.microsoft.com/office/drawing/2014/main" id="{C9360EC1-C84C-45FC-9699-EFBB628DD334}"/>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28</xdr:row>
      <xdr:rowOff>250658</xdr:rowOff>
    </xdr:from>
    <xdr:to>
      <xdr:col>3</xdr:col>
      <xdr:colOff>280736</xdr:colOff>
      <xdr:row>28</xdr:row>
      <xdr:rowOff>250658</xdr:rowOff>
    </xdr:to>
    <xdr:cxnSp macro="">
      <xdr:nvCxnSpPr>
        <xdr:cNvPr id="19" name="Conector de seta reta 9">
          <a:extLst>
            <a:ext uri="{FF2B5EF4-FFF2-40B4-BE49-F238E27FC236}">
              <a16:creationId xmlns:a16="http://schemas.microsoft.com/office/drawing/2014/main" id="{2EE87EBA-C91D-4BC5-B602-DABC7AD05E06}"/>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28</xdr:row>
      <xdr:rowOff>104775</xdr:rowOff>
    </xdr:from>
    <xdr:to>
      <xdr:col>1</xdr:col>
      <xdr:colOff>1962150</xdr:colOff>
      <xdr:row>29</xdr:row>
      <xdr:rowOff>9525</xdr:rowOff>
    </xdr:to>
    <xdr:sp macro="" textlink="">
      <xdr:nvSpPr>
        <xdr:cNvPr id="20" name="Text Box 12">
          <a:extLst>
            <a:ext uri="{FF2B5EF4-FFF2-40B4-BE49-F238E27FC236}">
              <a16:creationId xmlns:a16="http://schemas.microsoft.com/office/drawing/2014/main" id="{E00C89EA-F7E2-4297-85AF-7B2682AFE3FA}"/>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21" name="Text Box 13">
          <a:extLst>
            <a:ext uri="{FF2B5EF4-FFF2-40B4-BE49-F238E27FC236}">
              <a16:creationId xmlns:a16="http://schemas.microsoft.com/office/drawing/2014/main" id="{934D34B0-A491-4A1C-B7E6-994833DBC554}"/>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22" name="Text Box 14">
          <a:extLst>
            <a:ext uri="{FF2B5EF4-FFF2-40B4-BE49-F238E27FC236}">
              <a16:creationId xmlns:a16="http://schemas.microsoft.com/office/drawing/2014/main" id="{707B2EE1-0093-456B-8861-E189859D777F}"/>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23" name="Text Box 16">
          <a:extLst>
            <a:ext uri="{FF2B5EF4-FFF2-40B4-BE49-F238E27FC236}">
              <a16:creationId xmlns:a16="http://schemas.microsoft.com/office/drawing/2014/main" id="{331BF7EE-AEDC-4337-BBEB-BEE739BC619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24" name="Text Box 17">
          <a:extLst>
            <a:ext uri="{FF2B5EF4-FFF2-40B4-BE49-F238E27FC236}">
              <a16:creationId xmlns:a16="http://schemas.microsoft.com/office/drawing/2014/main" id="{23F7CBED-697B-4E45-86CE-EE51B41A0EED}"/>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25" name="Text Box 18">
          <a:extLst>
            <a:ext uri="{FF2B5EF4-FFF2-40B4-BE49-F238E27FC236}">
              <a16:creationId xmlns:a16="http://schemas.microsoft.com/office/drawing/2014/main" id="{E1A81548-3888-41E5-AAA9-FF3690C55607}"/>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26" name="Text Box 32">
          <a:extLst>
            <a:ext uri="{FF2B5EF4-FFF2-40B4-BE49-F238E27FC236}">
              <a16:creationId xmlns:a16="http://schemas.microsoft.com/office/drawing/2014/main" id="{6CF0A984-702C-4145-A745-3DB08449E2C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27" name="Text Box 34">
          <a:extLst>
            <a:ext uri="{FF2B5EF4-FFF2-40B4-BE49-F238E27FC236}">
              <a16:creationId xmlns:a16="http://schemas.microsoft.com/office/drawing/2014/main" id="{4083292A-2943-45B5-AE7E-531BCBB15118}"/>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28</xdr:row>
      <xdr:rowOff>250658</xdr:rowOff>
    </xdr:from>
    <xdr:to>
      <xdr:col>3</xdr:col>
      <xdr:colOff>280736</xdr:colOff>
      <xdr:row>28</xdr:row>
      <xdr:rowOff>250658</xdr:rowOff>
    </xdr:to>
    <xdr:cxnSp macro="">
      <xdr:nvCxnSpPr>
        <xdr:cNvPr id="28" name="Conector de seta reta 9">
          <a:extLst>
            <a:ext uri="{FF2B5EF4-FFF2-40B4-BE49-F238E27FC236}">
              <a16:creationId xmlns:a16="http://schemas.microsoft.com/office/drawing/2014/main" id="{7A9B44C3-34DF-457E-8D4F-EA40D598A4D4}"/>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66675</xdr:colOff>
      <xdr:row>70</xdr:row>
      <xdr:rowOff>57150</xdr:rowOff>
    </xdr:from>
    <xdr:to>
      <xdr:col>1</xdr:col>
      <xdr:colOff>361950</xdr:colOff>
      <xdr:row>71</xdr:row>
      <xdr:rowOff>57150</xdr:rowOff>
    </xdr:to>
    <xdr:sp macro="" textlink="">
      <xdr:nvSpPr>
        <xdr:cNvPr id="41" name="Text Box 16">
          <a:extLst>
            <a:ext uri="{FF2B5EF4-FFF2-40B4-BE49-F238E27FC236}">
              <a16:creationId xmlns:a16="http://schemas.microsoft.com/office/drawing/2014/main" id="{43F76856-9B30-4E0C-8414-7DC5483B8D28}"/>
            </a:ext>
          </a:extLst>
        </xdr:cNvPr>
        <xdr:cNvSpPr txBox="1">
          <a:spLocks noChangeArrowheads="1"/>
        </xdr:cNvSpPr>
      </xdr:nvSpPr>
      <xdr:spPr bwMode="auto">
        <a:xfrm>
          <a:off x="66675" y="20015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71</xdr:row>
      <xdr:rowOff>133350</xdr:rowOff>
    </xdr:from>
    <xdr:to>
      <xdr:col>1</xdr:col>
      <xdr:colOff>523875</xdr:colOff>
      <xdr:row>72</xdr:row>
      <xdr:rowOff>0</xdr:rowOff>
    </xdr:to>
    <xdr:sp macro="" textlink="">
      <xdr:nvSpPr>
        <xdr:cNvPr id="42" name="Text Box 17">
          <a:extLst>
            <a:ext uri="{FF2B5EF4-FFF2-40B4-BE49-F238E27FC236}">
              <a16:creationId xmlns:a16="http://schemas.microsoft.com/office/drawing/2014/main" id="{283D50AF-657D-45AC-9524-81034379BB25}"/>
            </a:ext>
          </a:extLst>
        </xdr:cNvPr>
        <xdr:cNvSpPr txBox="1">
          <a:spLocks noChangeArrowheads="1"/>
        </xdr:cNvSpPr>
      </xdr:nvSpPr>
      <xdr:spPr bwMode="auto">
        <a:xfrm>
          <a:off x="76200" y="20345400"/>
          <a:ext cx="701675"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71</xdr:row>
      <xdr:rowOff>133850</xdr:rowOff>
    </xdr:from>
    <xdr:to>
      <xdr:col>1</xdr:col>
      <xdr:colOff>2514600</xdr:colOff>
      <xdr:row>72</xdr:row>
      <xdr:rowOff>30079</xdr:rowOff>
    </xdr:to>
    <xdr:sp macro="" textlink="">
      <xdr:nvSpPr>
        <xdr:cNvPr id="43" name="Text Box 18">
          <a:extLst>
            <a:ext uri="{FF2B5EF4-FFF2-40B4-BE49-F238E27FC236}">
              <a16:creationId xmlns:a16="http://schemas.microsoft.com/office/drawing/2014/main" id="{6BC96736-3292-4F00-816A-0568BC75AA1D}"/>
            </a:ext>
          </a:extLst>
        </xdr:cNvPr>
        <xdr:cNvSpPr txBox="1">
          <a:spLocks noChangeArrowheads="1"/>
        </xdr:cNvSpPr>
      </xdr:nvSpPr>
      <xdr:spPr bwMode="auto">
        <a:xfrm>
          <a:off x="2270293" y="20345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105778</xdr:colOff>
      <xdr:row>72</xdr:row>
      <xdr:rowOff>107282</xdr:rowOff>
    </xdr:from>
    <xdr:to>
      <xdr:col>1</xdr:col>
      <xdr:colOff>429628</xdr:colOff>
      <xdr:row>73</xdr:row>
      <xdr:rowOff>126332</xdr:rowOff>
    </xdr:to>
    <xdr:sp macro="" textlink="">
      <xdr:nvSpPr>
        <xdr:cNvPr id="45" name="Text Box 34">
          <a:extLst>
            <a:ext uri="{FF2B5EF4-FFF2-40B4-BE49-F238E27FC236}">
              <a16:creationId xmlns:a16="http://schemas.microsoft.com/office/drawing/2014/main" id="{80381B30-6586-4B02-BD79-2E1D54FA08EC}"/>
            </a:ext>
          </a:extLst>
        </xdr:cNvPr>
        <xdr:cNvSpPr txBox="1">
          <a:spLocks noChangeArrowheads="1"/>
        </xdr:cNvSpPr>
      </xdr:nvSpPr>
      <xdr:spPr bwMode="auto">
        <a:xfrm>
          <a:off x="105778" y="20681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71</xdr:row>
      <xdr:rowOff>104775</xdr:rowOff>
    </xdr:from>
    <xdr:to>
      <xdr:col>1</xdr:col>
      <xdr:colOff>1962150</xdr:colOff>
      <xdr:row>72</xdr:row>
      <xdr:rowOff>9525</xdr:rowOff>
    </xdr:to>
    <xdr:sp macro="" textlink="">
      <xdr:nvSpPr>
        <xdr:cNvPr id="2" name="Text Box 12">
          <a:extLst>
            <a:ext uri="{FF2B5EF4-FFF2-40B4-BE49-F238E27FC236}">
              <a16:creationId xmlns:a16="http://schemas.microsoft.com/office/drawing/2014/main" id="{68BCC55A-9B75-45CF-9DB5-9936994C79DF}"/>
            </a:ext>
          </a:extLst>
        </xdr:cNvPr>
        <xdr:cNvSpPr txBox="1">
          <a:spLocks noChangeArrowheads="1"/>
        </xdr:cNvSpPr>
      </xdr:nvSpPr>
      <xdr:spPr bwMode="auto">
        <a:xfrm>
          <a:off x="781050" y="210216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71</xdr:row>
      <xdr:rowOff>114300</xdr:rowOff>
    </xdr:from>
    <xdr:to>
      <xdr:col>1</xdr:col>
      <xdr:colOff>3000374</xdr:colOff>
      <xdr:row>72</xdr:row>
      <xdr:rowOff>9525</xdr:rowOff>
    </xdr:to>
    <xdr:sp macro="" textlink="">
      <xdr:nvSpPr>
        <xdr:cNvPr id="3" name="Text Box 13">
          <a:extLst>
            <a:ext uri="{FF2B5EF4-FFF2-40B4-BE49-F238E27FC236}">
              <a16:creationId xmlns:a16="http://schemas.microsoft.com/office/drawing/2014/main" id="{482456C3-1BC7-49D6-9894-1D6E5021B0C1}"/>
            </a:ext>
          </a:extLst>
        </xdr:cNvPr>
        <xdr:cNvSpPr txBox="1">
          <a:spLocks noChangeArrowheads="1"/>
        </xdr:cNvSpPr>
      </xdr:nvSpPr>
      <xdr:spPr bwMode="auto">
        <a:xfrm>
          <a:off x="2781299" y="210312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70</xdr:row>
      <xdr:rowOff>50131</xdr:rowOff>
    </xdr:from>
    <xdr:to>
      <xdr:col>1</xdr:col>
      <xdr:colOff>2971800</xdr:colOff>
      <xdr:row>71</xdr:row>
      <xdr:rowOff>66674</xdr:rowOff>
    </xdr:to>
    <xdr:sp macro="" textlink="">
      <xdr:nvSpPr>
        <xdr:cNvPr id="4" name="Text Box 14">
          <a:extLst>
            <a:ext uri="{FF2B5EF4-FFF2-40B4-BE49-F238E27FC236}">
              <a16:creationId xmlns:a16="http://schemas.microsoft.com/office/drawing/2014/main" id="{3DAA227A-7F1E-4057-AECC-F7B281B5BAB4}"/>
            </a:ext>
          </a:extLst>
        </xdr:cNvPr>
        <xdr:cNvSpPr txBox="1">
          <a:spLocks noChangeArrowheads="1"/>
        </xdr:cNvSpPr>
      </xdr:nvSpPr>
      <xdr:spPr bwMode="auto">
        <a:xfrm>
          <a:off x="638175" y="208051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70</xdr:row>
      <xdr:rowOff>57150</xdr:rowOff>
    </xdr:from>
    <xdr:to>
      <xdr:col>1</xdr:col>
      <xdr:colOff>361950</xdr:colOff>
      <xdr:row>71</xdr:row>
      <xdr:rowOff>57150</xdr:rowOff>
    </xdr:to>
    <xdr:sp macro="" textlink="">
      <xdr:nvSpPr>
        <xdr:cNvPr id="5" name="Text Box 16">
          <a:extLst>
            <a:ext uri="{FF2B5EF4-FFF2-40B4-BE49-F238E27FC236}">
              <a16:creationId xmlns:a16="http://schemas.microsoft.com/office/drawing/2014/main" id="{9B014D25-1ECE-44A9-BFFE-29833759BC08}"/>
            </a:ext>
          </a:extLst>
        </xdr:cNvPr>
        <xdr:cNvSpPr txBox="1">
          <a:spLocks noChangeArrowheads="1"/>
        </xdr:cNvSpPr>
      </xdr:nvSpPr>
      <xdr:spPr bwMode="auto">
        <a:xfrm>
          <a:off x="66675" y="208121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71</xdr:row>
      <xdr:rowOff>133350</xdr:rowOff>
    </xdr:from>
    <xdr:to>
      <xdr:col>1</xdr:col>
      <xdr:colOff>523875</xdr:colOff>
      <xdr:row>72</xdr:row>
      <xdr:rowOff>0</xdr:rowOff>
    </xdr:to>
    <xdr:sp macro="" textlink="">
      <xdr:nvSpPr>
        <xdr:cNvPr id="6" name="Text Box 17">
          <a:extLst>
            <a:ext uri="{FF2B5EF4-FFF2-40B4-BE49-F238E27FC236}">
              <a16:creationId xmlns:a16="http://schemas.microsoft.com/office/drawing/2014/main" id="{90D65D20-9EFE-4E19-8946-4A612079B5B6}"/>
            </a:ext>
          </a:extLst>
        </xdr:cNvPr>
        <xdr:cNvSpPr txBox="1">
          <a:spLocks noChangeArrowheads="1"/>
        </xdr:cNvSpPr>
      </xdr:nvSpPr>
      <xdr:spPr bwMode="auto">
        <a:xfrm>
          <a:off x="76200" y="210502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71</xdr:row>
      <xdr:rowOff>133850</xdr:rowOff>
    </xdr:from>
    <xdr:to>
      <xdr:col>1</xdr:col>
      <xdr:colOff>2514600</xdr:colOff>
      <xdr:row>72</xdr:row>
      <xdr:rowOff>30079</xdr:rowOff>
    </xdr:to>
    <xdr:sp macro="" textlink="">
      <xdr:nvSpPr>
        <xdr:cNvPr id="7" name="Text Box 18">
          <a:extLst>
            <a:ext uri="{FF2B5EF4-FFF2-40B4-BE49-F238E27FC236}">
              <a16:creationId xmlns:a16="http://schemas.microsoft.com/office/drawing/2014/main" id="{6666D362-C90D-40D5-AE9C-8EC69ED18B89}"/>
            </a:ext>
          </a:extLst>
        </xdr:cNvPr>
        <xdr:cNvSpPr txBox="1">
          <a:spLocks noChangeArrowheads="1"/>
        </xdr:cNvSpPr>
      </xdr:nvSpPr>
      <xdr:spPr bwMode="auto">
        <a:xfrm>
          <a:off x="2263943" y="210507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72</xdr:row>
      <xdr:rowOff>58153</xdr:rowOff>
    </xdr:from>
    <xdr:to>
      <xdr:col>1</xdr:col>
      <xdr:colOff>1966161</xdr:colOff>
      <xdr:row>73</xdr:row>
      <xdr:rowOff>115303</xdr:rowOff>
    </xdr:to>
    <xdr:sp macro="" textlink="">
      <xdr:nvSpPr>
        <xdr:cNvPr id="8" name="Text Box 32">
          <a:extLst>
            <a:ext uri="{FF2B5EF4-FFF2-40B4-BE49-F238E27FC236}">
              <a16:creationId xmlns:a16="http://schemas.microsoft.com/office/drawing/2014/main" id="{1AECA6A7-8BEC-4F1D-BA00-EA7F9B03C7E7}"/>
            </a:ext>
          </a:extLst>
        </xdr:cNvPr>
        <xdr:cNvSpPr txBox="1">
          <a:spLocks noChangeArrowheads="1"/>
        </xdr:cNvSpPr>
      </xdr:nvSpPr>
      <xdr:spPr bwMode="auto">
        <a:xfrm>
          <a:off x="775536" y="211369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72</xdr:row>
      <xdr:rowOff>107282</xdr:rowOff>
    </xdr:from>
    <xdr:to>
      <xdr:col>1</xdr:col>
      <xdr:colOff>429628</xdr:colOff>
      <xdr:row>73</xdr:row>
      <xdr:rowOff>126332</xdr:rowOff>
    </xdr:to>
    <xdr:sp macro="" textlink="">
      <xdr:nvSpPr>
        <xdr:cNvPr id="9" name="Text Box 34">
          <a:extLst>
            <a:ext uri="{FF2B5EF4-FFF2-40B4-BE49-F238E27FC236}">
              <a16:creationId xmlns:a16="http://schemas.microsoft.com/office/drawing/2014/main" id="{B0ED6B64-2529-4921-8AB2-A740FE1E2A0F}"/>
            </a:ext>
          </a:extLst>
        </xdr:cNvPr>
        <xdr:cNvSpPr txBox="1">
          <a:spLocks noChangeArrowheads="1"/>
        </xdr:cNvSpPr>
      </xdr:nvSpPr>
      <xdr:spPr bwMode="auto">
        <a:xfrm>
          <a:off x="105778" y="211861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71</xdr:row>
      <xdr:rowOff>250658</xdr:rowOff>
    </xdr:from>
    <xdr:to>
      <xdr:col>3</xdr:col>
      <xdr:colOff>280736</xdr:colOff>
      <xdr:row>71</xdr:row>
      <xdr:rowOff>250658</xdr:rowOff>
    </xdr:to>
    <xdr:cxnSp macro="">
      <xdr:nvCxnSpPr>
        <xdr:cNvPr id="10" name="Conector de seta reta 18">
          <a:extLst>
            <a:ext uri="{FF2B5EF4-FFF2-40B4-BE49-F238E27FC236}">
              <a16:creationId xmlns:a16="http://schemas.microsoft.com/office/drawing/2014/main" id="{B38F8D81-BF40-41CD-9533-FC40CC32F622}"/>
            </a:ext>
          </a:extLst>
        </xdr:cNvPr>
        <xdr:cNvCxnSpPr/>
      </xdr:nvCxnSpPr>
      <xdr:spPr>
        <a:xfrm>
          <a:off x="3886701" y="210818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65</xdr:row>
      <xdr:rowOff>104775</xdr:rowOff>
    </xdr:from>
    <xdr:to>
      <xdr:col>1</xdr:col>
      <xdr:colOff>1962150</xdr:colOff>
      <xdr:row>66</xdr:row>
      <xdr:rowOff>9525</xdr:rowOff>
    </xdr:to>
    <xdr:sp macro="" textlink="">
      <xdr:nvSpPr>
        <xdr:cNvPr id="11" name="Text Box 12">
          <a:extLst>
            <a:ext uri="{FF2B5EF4-FFF2-40B4-BE49-F238E27FC236}">
              <a16:creationId xmlns:a16="http://schemas.microsoft.com/office/drawing/2014/main" id="{B1066281-CD97-4F0B-8AB4-619A25C8B076}"/>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65</xdr:row>
      <xdr:rowOff>114300</xdr:rowOff>
    </xdr:from>
    <xdr:to>
      <xdr:col>1</xdr:col>
      <xdr:colOff>3000374</xdr:colOff>
      <xdr:row>66</xdr:row>
      <xdr:rowOff>9525</xdr:rowOff>
    </xdr:to>
    <xdr:sp macro="" textlink="">
      <xdr:nvSpPr>
        <xdr:cNvPr id="12" name="Text Box 13">
          <a:extLst>
            <a:ext uri="{FF2B5EF4-FFF2-40B4-BE49-F238E27FC236}">
              <a16:creationId xmlns:a16="http://schemas.microsoft.com/office/drawing/2014/main" id="{B524F43C-9B33-4423-9CF9-1A8C5477A0D0}"/>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64</xdr:row>
      <xdr:rowOff>50131</xdr:rowOff>
    </xdr:from>
    <xdr:to>
      <xdr:col>1</xdr:col>
      <xdr:colOff>2971800</xdr:colOff>
      <xdr:row>65</xdr:row>
      <xdr:rowOff>66674</xdr:rowOff>
    </xdr:to>
    <xdr:sp macro="" textlink="">
      <xdr:nvSpPr>
        <xdr:cNvPr id="13" name="Text Box 14">
          <a:extLst>
            <a:ext uri="{FF2B5EF4-FFF2-40B4-BE49-F238E27FC236}">
              <a16:creationId xmlns:a16="http://schemas.microsoft.com/office/drawing/2014/main" id="{C0BC9F0A-266A-4ABE-91E6-F82C95891C0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64</xdr:row>
      <xdr:rowOff>57150</xdr:rowOff>
    </xdr:from>
    <xdr:to>
      <xdr:col>1</xdr:col>
      <xdr:colOff>361950</xdr:colOff>
      <xdr:row>65</xdr:row>
      <xdr:rowOff>57150</xdr:rowOff>
    </xdr:to>
    <xdr:sp macro="" textlink="">
      <xdr:nvSpPr>
        <xdr:cNvPr id="14" name="Text Box 16">
          <a:extLst>
            <a:ext uri="{FF2B5EF4-FFF2-40B4-BE49-F238E27FC236}">
              <a16:creationId xmlns:a16="http://schemas.microsoft.com/office/drawing/2014/main" id="{0C2EA74A-FC27-441C-8B5B-B69320207FCB}"/>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65</xdr:row>
      <xdr:rowOff>133350</xdr:rowOff>
    </xdr:from>
    <xdr:to>
      <xdr:col>1</xdr:col>
      <xdr:colOff>523875</xdr:colOff>
      <xdr:row>65</xdr:row>
      <xdr:rowOff>276225</xdr:rowOff>
    </xdr:to>
    <xdr:sp macro="" textlink="">
      <xdr:nvSpPr>
        <xdr:cNvPr id="15" name="Text Box 17">
          <a:extLst>
            <a:ext uri="{FF2B5EF4-FFF2-40B4-BE49-F238E27FC236}">
              <a16:creationId xmlns:a16="http://schemas.microsoft.com/office/drawing/2014/main" id="{5C847D4D-DDB5-4D7A-859E-905231BE50A7}"/>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65</xdr:row>
      <xdr:rowOff>133850</xdr:rowOff>
    </xdr:from>
    <xdr:to>
      <xdr:col>1</xdr:col>
      <xdr:colOff>2514600</xdr:colOff>
      <xdr:row>66</xdr:row>
      <xdr:rowOff>30079</xdr:rowOff>
    </xdr:to>
    <xdr:sp macro="" textlink="">
      <xdr:nvSpPr>
        <xdr:cNvPr id="16" name="Text Box 18">
          <a:extLst>
            <a:ext uri="{FF2B5EF4-FFF2-40B4-BE49-F238E27FC236}">
              <a16:creationId xmlns:a16="http://schemas.microsoft.com/office/drawing/2014/main" id="{73FBB810-368F-4C5D-B7FD-67EAC0A25535}"/>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66</xdr:row>
      <xdr:rowOff>58153</xdr:rowOff>
    </xdr:from>
    <xdr:to>
      <xdr:col>1</xdr:col>
      <xdr:colOff>1966161</xdr:colOff>
      <xdr:row>67</xdr:row>
      <xdr:rowOff>115303</xdr:rowOff>
    </xdr:to>
    <xdr:sp macro="" textlink="">
      <xdr:nvSpPr>
        <xdr:cNvPr id="17" name="Text Box 32">
          <a:extLst>
            <a:ext uri="{FF2B5EF4-FFF2-40B4-BE49-F238E27FC236}">
              <a16:creationId xmlns:a16="http://schemas.microsoft.com/office/drawing/2014/main" id="{A1C2BE32-B0FE-451A-B7F6-86CFA7D65DF7}"/>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66</xdr:row>
      <xdr:rowOff>107282</xdr:rowOff>
    </xdr:from>
    <xdr:to>
      <xdr:col>1</xdr:col>
      <xdr:colOff>429628</xdr:colOff>
      <xdr:row>67</xdr:row>
      <xdr:rowOff>126332</xdr:rowOff>
    </xdr:to>
    <xdr:sp macro="" textlink="">
      <xdr:nvSpPr>
        <xdr:cNvPr id="18" name="Text Box 34">
          <a:extLst>
            <a:ext uri="{FF2B5EF4-FFF2-40B4-BE49-F238E27FC236}">
              <a16:creationId xmlns:a16="http://schemas.microsoft.com/office/drawing/2014/main" id="{90117A44-3C64-4522-9CA9-060F39F49A5A}"/>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65</xdr:row>
      <xdr:rowOff>250658</xdr:rowOff>
    </xdr:from>
    <xdr:to>
      <xdr:col>3</xdr:col>
      <xdr:colOff>280736</xdr:colOff>
      <xdr:row>65</xdr:row>
      <xdr:rowOff>250658</xdr:rowOff>
    </xdr:to>
    <xdr:cxnSp macro="">
      <xdr:nvCxnSpPr>
        <xdr:cNvPr id="19" name="Conector de seta reta 18">
          <a:extLst>
            <a:ext uri="{FF2B5EF4-FFF2-40B4-BE49-F238E27FC236}">
              <a16:creationId xmlns:a16="http://schemas.microsoft.com/office/drawing/2014/main" id="{FBCC18C1-E04A-4899-8717-303C5E52EEFF}"/>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65</xdr:row>
      <xdr:rowOff>104775</xdr:rowOff>
    </xdr:from>
    <xdr:to>
      <xdr:col>1</xdr:col>
      <xdr:colOff>1962150</xdr:colOff>
      <xdr:row>66</xdr:row>
      <xdr:rowOff>9525</xdr:rowOff>
    </xdr:to>
    <xdr:sp macro="" textlink="">
      <xdr:nvSpPr>
        <xdr:cNvPr id="20" name="Text Box 12">
          <a:extLst>
            <a:ext uri="{FF2B5EF4-FFF2-40B4-BE49-F238E27FC236}">
              <a16:creationId xmlns:a16="http://schemas.microsoft.com/office/drawing/2014/main" id="{7A7A8737-51F3-48AF-9BB1-6D9101BEB347}"/>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65</xdr:row>
      <xdr:rowOff>114300</xdr:rowOff>
    </xdr:from>
    <xdr:to>
      <xdr:col>1</xdr:col>
      <xdr:colOff>3000374</xdr:colOff>
      <xdr:row>66</xdr:row>
      <xdr:rowOff>9525</xdr:rowOff>
    </xdr:to>
    <xdr:sp macro="" textlink="">
      <xdr:nvSpPr>
        <xdr:cNvPr id="21" name="Text Box 13">
          <a:extLst>
            <a:ext uri="{FF2B5EF4-FFF2-40B4-BE49-F238E27FC236}">
              <a16:creationId xmlns:a16="http://schemas.microsoft.com/office/drawing/2014/main" id="{3F914FF3-278F-4103-B0BE-0CF13D849C74}"/>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64</xdr:row>
      <xdr:rowOff>50131</xdr:rowOff>
    </xdr:from>
    <xdr:to>
      <xdr:col>1</xdr:col>
      <xdr:colOff>2971800</xdr:colOff>
      <xdr:row>65</xdr:row>
      <xdr:rowOff>66674</xdr:rowOff>
    </xdr:to>
    <xdr:sp macro="" textlink="">
      <xdr:nvSpPr>
        <xdr:cNvPr id="22" name="Text Box 14">
          <a:extLst>
            <a:ext uri="{FF2B5EF4-FFF2-40B4-BE49-F238E27FC236}">
              <a16:creationId xmlns:a16="http://schemas.microsoft.com/office/drawing/2014/main" id="{770B04A6-8B87-4392-8C32-59F308AA019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64</xdr:row>
      <xdr:rowOff>57150</xdr:rowOff>
    </xdr:from>
    <xdr:to>
      <xdr:col>1</xdr:col>
      <xdr:colOff>361950</xdr:colOff>
      <xdr:row>65</xdr:row>
      <xdr:rowOff>57150</xdr:rowOff>
    </xdr:to>
    <xdr:sp macro="" textlink="">
      <xdr:nvSpPr>
        <xdr:cNvPr id="23" name="Text Box 16">
          <a:extLst>
            <a:ext uri="{FF2B5EF4-FFF2-40B4-BE49-F238E27FC236}">
              <a16:creationId xmlns:a16="http://schemas.microsoft.com/office/drawing/2014/main" id="{CA6940EC-FFAE-44A6-A0FB-558B45851D88}"/>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65</xdr:row>
      <xdr:rowOff>133350</xdr:rowOff>
    </xdr:from>
    <xdr:to>
      <xdr:col>1</xdr:col>
      <xdr:colOff>523875</xdr:colOff>
      <xdr:row>65</xdr:row>
      <xdr:rowOff>276225</xdr:rowOff>
    </xdr:to>
    <xdr:sp macro="" textlink="">
      <xdr:nvSpPr>
        <xdr:cNvPr id="24" name="Text Box 17">
          <a:extLst>
            <a:ext uri="{FF2B5EF4-FFF2-40B4-BE49-F238E27FC236}">
              <a16:creationId xmlns:a16="http://schemas.microsoft.com/office/drawing/2014/main" id="{A5D72992-36FB-4EB8-A16D-57096A352ED9}"/>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65</xdr:row>
      <xdr:rowOff>133850</xdr:rowOff>
    </xdr:from>
    <xdr:to>
      <xdr:col>1</xdr:col>
      <xdr:colOff>2514600</xdr:colOff>
      <xdr:row>66</xdr:row>
      <xdr:rowOff>30079</xdr:rowOff>
    </xdr:to>
    <xdr:sp macro="" textlink="">
      <xdr:nvSpPr>
        <xdr:cNvPr id="25" name="Text Box 18">
          <a:extLst>
            <a:ext uri="{FF2B5EF4-FFF2-40B4-BE49-F238E27FC236}">
              <a16:creationId xmlns:a16="http://schemas.microsoft.com/office/drawing/2014/main" id="{05E11C56-104F-49C3-B201-6964B0B928B6}"/>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66</xdr:row>
      <xdr:rowOff>58153</xdr:rowOff>
    </xdr:from>
    <xdr:to>
      <xdr:col>1</xdr:col>
      <xdr:colOff>1966161</xdr:colOff>
      <xdr:row>67</xdr:row>
      <xdr:rowOff>115303</xdr:rowOff>
    </xdr:to>
    <xdr:sp macro="" textlink="">
      <xdr:nvSpPr>
        <xdr:cNvPr id="26" name="Text Box 32">
          <a:extLst>
            <a:ext uri="{FF2B5EF4-FFF2-40B4-BE49-F238E27FC236}">
              <a16:creationId xmlns:a16="http://schemas.microsoft.com/office/drawing/2014/main" id="{CB4E5B1B-A7AB-46C8-A8CD-825216F1B69D}"/>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66</xdr:row>
      <xdr:rowOff>107282</xdr:rowOff>
    </xdr:from>
    <xdr:to>
      <xdr:col>1</xdr:col>
      <xdr:colOff>429628</xdr:colOff>
      <xdr:row>67</xdr:row>
      <xdr:rowOff>126332</xdr:rowOff>
    </xdr:to>
    <xdr:sp macro="" textlink="">
      <xdr:nvSpPr>
        <xdr:cNvPr id="27" name="Text Box 34">
          <a:extLst>
            <a:ext uri="{FF2B5EF4-FFF2-40B4-BE49-F238E27FC236}">
              <a16:creationId xmlns:a16="http://schemas.microsoft.com/office/drawing/2014/main" id="{88E1F16A-F607-4182-A742-2A35273F3513}"/>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65</xdr:row>
      <xdr:rowOff>250658</xdr:rowOff>
    </xdr:from>
    <xdr:to>
      <xdr:col>3</xdr:col>
      <xdr:colOff>280736</xdr:colOff>
      <xdr:row>65</xdr:row>
      <xdr:rowOff>250658</xdr:rowOff>
    </xdr:to>
    <xdr:cxnSp macro="">
      <xdr:nvCxnSpPr>
        <xdr:cNvPr id="28" name="Conector de seta reta 18">
          <a:extLst>
            <a:ext uri="{FF2B5EF4-FFF2-40B4-BE49-F238E27FC236}">
              <a16:creationId xmlns:a16="http://schemas.microsoft.com/office/drawing/2014/main" id="{3F1F726E-0AFF-4FE9-BEB6-BC90CB7D49F7}"/>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533400</xdr:colOff>
      <xdr:row>47</xdr:row>
      <xdr:rowOff>104775</xdr:rowOff>
    </xdr:from>
    <xdr:to>
      <xdr:col>1</xdr:col>
      <xdr:colOff>1962150</xdr:colOff>
      <xdr:row>48</xdr:row>
      <xdr:rowOff>9525</xdr:rowOff>
    </xdr:to>
    <xdr:sp macro="" textlink="">
      <xdr:nvSpPr>
        <xdr:cNvPr id="2" name="Text Box 12">
          <a:extLst>
            <a:ext uri="{FF2B5EF4-FFF2-40B4-BE49-F238E27FC236}">
              <a16:creationId xmlns:a16="http://schemas.microsoft.com/office/drawing/2014/main" id="{00000000-0008-0000-0800-000002000000}"/>
            </a:ext>
          </a:extLst>
        </xdr:cNvPr>
        <xdr:cNvSpPr txBox="1">
          <a:spLocks noChangeArrowheads="1"/>
        </xdr:cNvSpPr>
      </xdr:nvSpPr>
      <xdr:spPr bwMode="auto">
        <a:xfrm>
          <a:off x="781050" y="551497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47</xdr:row>
      <xdr:rowOff>114300</xdr:rowOff>
    </xdr:from>
    <xdr:to>
      <xdr:col>1</xdr:col>
      <xdr:colOff>3000374</xdr:colOff>
      <xdr:row>48</xdr:row>
      <xdr:rowOff>9525</xdr:rowOff>
    </xdr:to>
    <xdr:sp macro="" textlink="">
      <xdr:nvSpPr>
        <xdr:cNvPr id="3" name="Text Box 13">
          <a:extLst>
            <a:ext uri="{FF2B5EF4-FFF2-40B4-BE49-F238E27FC236}">
              <a16:creationId xmlns:a16="http://schemas.microsoft.com/office/drawing/2014/main" id="{00000000-0008-0000-0800-000003000000}"/>
            </a:ext>
          </a:extLst>
        </xdr:cNvPr>
        <xdr:cNvSpPr txBox="1">
          <a:spLocks noChangeArrowheads="1"/>
        </xdr:cNvSpPr>
      </xdr:nvSpPr>
      <xdr:spPr bwMode="auto">
        <a:xfrm>
          <a:off x="2781299" y="552450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46</xdr:row>
      <xdr:rowOff>50131</xdr:rowOff>
    </xdr:from>
    <xdr:to>
      <xdr:col>1</xdr:col>
      <xdr:colOff>2971800</xdr:colOff>
      <xdr:row>47</xdr:row>
      <xdr:rowOff>66674</xdr:rowOff>
    </xdr:to>
    <xdr:sp macro="" textlink="">
      <xdr:nvSpPr>
        <xdr:cNvPr id="4" name="Text Box 14">
          <a:extLst>
            <a:ext uri="{FF2B5EF4-FFF2-40B4-BE49-F238E27FC236}">
              <a16:creationId xmlns:a16="http://schemas.microsoft.com/office/drawing/2014/main" id="{00000000-0008-0000-0800-000004000000}"/>
            </a:ext>
          </a:extLst>
        </xdr:cNvPr>
        <xdr:cNvSpPr txBox="1">
          <a:spLocks noChangeArrowheads="1"/>
        </xdr:cNvSpPr>
      </xdr:nvSpPr>
      <xdr:spPr bwMode="auto">
        <a:xfrm>
          <a:off x="638175" y="520315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46</xdr:row>
      <xdr:rowOff>57150</xdr:rowOff>
    </xdr:from>
    <xdr:to>
      <xdr:col>1</xdr:col>
      <xdr:colOff>361950</xdr:colOff>
      <xdr:row>47</xdr:row>
      <xdr:rowOff>57150</xdr:rowOff>
    </xdr:to>
    <xdr:sp macro="" textlink="">
      <xdr:nvSpPr>
        <xdr:cNvPr id="5" name="Text Box 16">
          <a:extLst>
            <a:ext uri="{FF2B5EF4-FFF2-40B4-BE49-F238E27FC236}">
              <a16:creationId xmlns:a16="http://schemas.microsoft.com/office/drawing/2014/main" id="{00000000-0008-0000-0800-000005000000}"/>
            </a:ext>
          </a:extLst>
        </xdr:cNvPr>
        <xdr:cNvSpPr txBox="1">
          <a:spLocks noChangeArrowheads="1"/>
        </xdr:cNvSpPr>
      </xdr:nvSpPr>
      <xdr:spPr bwMode="auto">
        <a:xfrm>
          <a:off x="66675" y="521017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47</xdr:row>
      <xdr:rowOff>133350</xdr:rowOff>
    </xdr:from>
    <xdr:to>
      <xdr:col>1</xdr:col>
      <xdr:colOff>523875</xdr:colOff>
      <xdr:row>47</xdr:row>
      <xdr:rowOff>276225</xdr:rowOff>
    </xdr:to>
    <xdr:sp macro="" textlink="">
      <xdr:nvSpPr>
        <xdr:cNvPr id="6" name="Text Box 17">
          <a:extLst>
            <a:ext uri="{FF2B5EF4-FFF2-40B4-BE49-F238E27FC236}">
              <a16:creationId xmlns:a16="http://schemas.microsoft.com/office/drawing/2014/main" id="{00000000-0008-0000-0800-000006000000}"/>
            </a:ext>
          </a:extLst>
        </xdr:cNvPr>
        <xdr:cNvSpPr txBox="1">
          <a:spLocks noChangeArrowheads="1"/>
        </xdr:cNvSpPr>
      </xdr:nvSpPr>
      <xdr:spPr bwMode="auto">
        <a:xfrm>
          <a:off x="76200" y="55435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47</xdr:row>
      <xdr:rowOff>133850</xdr:rowOff>
    </xdr:from>
    <xdr:to>
      <xdr:col>1</xdr:col>
      <xdr:colOff>2514600</xdr:colOff>
      <xdr:row>48</xdr:row>
      <xdr:rowOff>30079</xdr:rowOff>
    </xdr:to>
    <xdr:sp macro="" textlink="">
      <xdr:nvSpPr>
        <xdr:cNvPr id="7" name="Text Box 18">
          <a:extLst>
            <a:ext uri="{FF2B5EF4-FFF2-40B4-BE49-F238E27FC236}">
              <a16:creationId xmlns:a16="http://schemas.microsoft.com/office/drawing/2014/main" id="{00000000-0008-0000-0800-000007000000}"/>
            </a:ext>
          </a:extLst>
        </xdr:cNvPr>
        <xdr:cNvSpPr txBox="1">
          <a:spLocks noChangeArrowheads="1"/>
        </xdr:cNvSpPr>
      </xdr:nvSpPr>
      <xdr:spPr bwMode="auto">
        <a:xfrm>
          <a:off x="2263943" y="554405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48</xdr:row>
      <xdr:rowOff>58153</xdr:rowOff>
    </xdr:from>
    <xdr:to>
      <xdr:col>1</xdr:col>
      <xdr:colOff>1966161</xdr:colOff>
      <xdr:row>49</xdr:row>
      <xdr:rowOff>115303</xdr:rowOff>
    </xdr:to>
    <xdr:sp macro="" textlink="">
      <xdr:nvSpPr>
        <xdr:cNvPr id="8" name="Text Box 32">
          <a:extLst>
            <a:ext uri="{FF2B5EF4-FFF2-40B4-BE49-F238E27FC236}">
              <a16:creationId xmlns:a16="http://schemas.microsoft.com/office/drawing/2014/main" id="{00000000-0008-0000-0800-000008000000}"/>
            </a:ext>
          </a:extLst>
        </xdr:cNvPr>
        <xdr:cNvSpPr txBox="1">
          <a:spLocks noChangeArrowheads="1"/>
        </xdr:cNvSpPr>
      </xdr:nvSpPr>
      <xdr:spPr bwMode="auto">
        <a:xfrm>
          <a:off x="775536" y="583030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48</xdr:row>
      <xdr:rowOff>107282</xdr:rowOff>
    </xdr:from>
    <xdr:to>
      <xdr:col>1</xdr:col>
      <xdr:colOff>429628</xdr:colOff>
      <xdr:row>49</xdr:row>
      <xdr:rowOff>126332</xdr:rowOff>
    </xdr:to>
    <xdr:sp macro="" textlink="">
      <xdr:nvSpPr>
        <xdr:cNvPr id="9" name="Text Box 34">
          <a:extLst>
            <a:ext uri="{FF2B5EF4-FFF2-40B4-BE49-F238E27FC236}">
              <a16:creationId xmlns:a16="http://schemas.microsoft.com/office/drawing/2014/main" id="{00000000-0008-0000-0800-000009000000}"/>
            </a:ext>
          </a:extLst>
        </xdr:cNvPr>
        <xdr:cNvSpPr txBox="1">
          <a:spLocks noChangeArrowheads="1"/>
        </xdr:cNvSpPr>
      </xdr:nvSpPr>
      <xdr:spPr bwMode="auto">
        <a:xfrm>
          <a:off x="105778" y="587943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47</xdr:row>
      <xdr:rowOff>104775</xdr:rowOff>
    </xdr:from>
    <xdr:to>
      <xdr:col>1</xdr:col>
      <xdr:colOff>1962150</xdr:colOff>
      <xdr:row>48</xdr:row>
      <xdr:rowOff>9525</xdr:rowOff>
    </xdr:to>
    <xdr:sp macro="" textlink="">
      <xdr:nvSpPr>
        <xdr:cNvPr id="11" name="Text Box 12">
          <a:extLst>
            <a:ext uri="{FF2B5EF4-FFF2-40B4-BE49-F238E27FC236}">
              <a16:creationId xmlns:a16="http://schemas.microsoft.com/office/drawing/2014/main" id="{42717B4A-4E12-4C8E-ABB7-07B54A5DFFA1}"/>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47</xdr:row>
      <xdr:rowOff>114300</xdr:rowOff>
    </xdr:from>
    <xdr:to>
      <xdr:col>1</xdr:col>
      <xdr:colOff>3000374</xdr:colOff>
      <xdr:row>48</xdr:row>
      <xdr:rowOff>9525</xdr:rowOff>
    </xdr:to>
    <xdr:sp macro="" textlink="">
      <xdr:nvSpPr>
        <xdr:cNvPr id="12" name="Text Box 13">
          <a:extLst>
            <a:ext uri="{FF2B5EF4-FFF2-40B4-BE49-F238E27FC236}">
              <a16:creationId xmlns:a16="http://schemas.microsoft.com/office/drawing/2014/main" id="{480803CF-2294-4A47-956C-5AC6986DB616}"/>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46</xdr:row>
      <xdr:rowOff>50131</xdr:rowOff>
    </xdr:from>
    <xdr:to>
      <xdr:col>1</xdr:col>
      <xdr:colOff>2971800</xdr:colOff>
      <xdr:row>47</xdr:row>
      <xdr:rowOff>66674</xdr:rowOff>
    </xdr:to>
    <xdr:sp macro="" textlink="">
      <xdr:nvSpPr>
        <xdr:cNvPr id="13" name="Text Box 14">
          <a:extLst>
            <a:ext uri="{FF2B5EF4-FFF2-40B4-BE49-F238E27FC236}">
              <a16:creationId xmlns:a16="http://schemas.microsoft.com/office/drawing/2014/main" id="{9E08405C-5043-4D73-9C24-3CBE26D9672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46</xdr:row>
      <xdr:rowOff>57150</xdr:rowOff>
    </xdr:from>
    <xdr:to>
      <xdr:col>1</xdr:col>
      <xdr:colOff>361950</xdr:colOff>
      <xdr:row>47</xdr:row>
      <xdr:rowOff>57150</xdr:rowOff>
    </xdr:to>
    <xdr:sp macro="" textlink="">
      <xdr:nvSpPr>
        <xdr:cNvPr id="14" name="Text Box 16">
          <a:extLst>
            <a:ext uri="{FF2B5EF4-FFF2-40B4-BE49-F238E27FC236}">
              <a16:creationId xmlns:a16="http://schemas.microsoft.com/office/drawing/2014/main" id="{93208008-0E1F-4404-92B0-2D2784E947CB}"/>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47</xdr:row>
      <xdr:rowOff>133350</xdr:rowOff>
    </xdr:from>
    <xdr:to>
      <xdr:col>1</xdr:col>
      <xdr:colOff>523875</xdr:colOff>
      <xdr:row>47</xdr:row>
      <xdr:rowOff>276225</xdr:rowOff>
    </xdr:to>
    <xdr:sp macro="" textlink="">
      <xdr:nvSpPr>
        <xdr:cNvPr id="15" name="Text Box 17">
          <a:extLst>
            <a:ext uri="{FF2B5EF4-FFF2-40B4-BE49-F238E27FC236}">
              <a16:creationId xmlns:a16="http://schemas.microsoft.com/office/drawing/2014/main" id="{F4DE2AE1-49F2-48AF-96F8-FD697206A80F}"/>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47</xdr:row>
      <xdr:rowOff>133850</xdr:rowOff>
    </xdr:from>
    <xdr:to>
      <xdr:col>1</xdr:col>
      <xdr:colOff>2514600</xdr:colOff>
      <xdr:row>48</xdr:row>
      <xdr:rowOff>30079</xdr:rowOff>
    </xdr:to>
    <xdr:sp macro="" textlink="">
      <xdr:nvSpPr>
        <xdr:cNvPr id="16" name="Text Box 18">
          <a:extLst>
            <a:ext uri="{FF2B5EF4-FFF2-40B4-BE49-F238E27FC236}">
              <a16:creationId xmlns:a16="http://schemas.microsoft.com/office/drawing/2014/main" id="{9C984F66-723F-4DA2-A996-A5B9AA9959A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48</xdr:row>
      <xdr:rowOff>58153</xdr:rowOff>
    </xdr:from>
    <xdr:to>
      <xdr:col>1</xdr:col>
      <xdr:colOff>1966161</xdr:colOff>
      <xdr:row>49</xdr:row>
      <xdr:rowOff>115303</xdr:rowOff>
    </xdr:to>
    <xdr:sp macro="" textlink="">
      <xdr:nvSpPr>
        <xdr:cNvPr id="17" name="Text Box 32">
          <a:extLst>
            <a:ext uri="{FF2B5EF4-FFF2-40B4-BE49-F238E27FC236}">
              <a16:creationId xmlns:a16="http://schemas.microsoft.com/office/drawing/2014/main" id="{082B30FF-1742-4F6E-9DF2-FEB4B324B0C5}"/>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48</xdr:row>
      <xdr:rowOff>107282</xdr:rowOff>
    </xdr:from>
    <xdr:to>
      <xdr:col>1</xdr:col>
      <xdr:colOff>429628</xdr:colOff>
      <xdr:row>49</xdr:row>
      <xdr:rowOff>126332</xdr:rowOff>
    </xdr:to>
    <xdr:sp macro="" textlink="">
      <xdr:nvSpPr>
        <xdr:cNvPr id="18" name="Text Box 34">
          <a:extLst>
            <a:ext uri="{FF2B5EF4-FFF2-40B4-BE49-F238E27FC236}">
              <a16:creationId xmlns:a16="http://schemas.microsoft.com/office/drawing/2014/main" id="{F4D9A608-7FDF-4C68-8E6E-FCA5130435EF}"/>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47</xdr:row>
      <xdr:rowOff>104775</xdr:rowOff>
    </xdr:from>
    <xdr:to>
      <xdr:col>1</xdr:col>
      <xdr:colOff>1962150</xdr:colOff>
      <xdr:row>48</xdr:row>
      <xdr:rowOff>9525</xdr:rowOff>
    </xdr:to>
    <xdr:sp macro="" textlink="">
      <xdr:nvSpPr>
        <xdr:cNvPr id="20" name="Text Box 12">
          <a:extLst>
            <a:ext uri="{FF2B5EF4-FFF2-40B4-BE49-F238E27FC236}">
              <a16:creationId xmlns:a16="http://schemas.microsoft.com/office/drawing/2014/main" id="{1CB4AE3E-EDB4-4AD4-B54A-6C5E7DEBEA72}"/>
            </a:ext>
          </a:extLst>
        </xdr:cNvPr>
        <xdr:cNvSpPr txBox="1">
          <a:spLocks noChangeArrowheads="1"/>
        </xdr:cNvSpPr>
      </xdr:nvSpPr>
      <xdr:spPr bwMode="auto">
        <a:xfrm>
          <a:off x="790575" y="522605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47</xdr:row>
      <xdr:rowOff>114300</xdr:rowOff>
    </xdr:from>
    <xdr:to>
      <xdr:col>1</xdr:col>
      <xdr:colOff>3000374</xdr:colOff>
      <xdr:row>48</xdr:row>
      <xdr:rowOff>9525</xdr:rowOff>
    </xdr:to>
    <xdr:sp macro="" textlink="">
      <xdr:nvSpPr>
        <xdr:cNvPr id="21" name="Text Box 13">
          <a:extLst>
            <a:ext uri="{FF2B5EF4-FFF2-40B4-BE49-F238E27FC236}">
              <a16:creationId xmlns:a16="http://schemas.microsoft.com/office/drawing/2014/main" id="{CA4B3F60-C47C-4074-BB5D-288A5150C2B7}"/>
            </a:ext>
          </a:extLst>
        </xdr:cNvPr>
        <xdr:cNvSpPr txBox="1">
          <a:spLocks noChangeArrowheads="1"/>
        </xdr:cNvSpPr>
      </xdr:nvSpPr>
      <xdr:spPr bwMode="auto">
        <a:xfrm>
          <a:off x="2790824" y="5238750"/>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46</xdr:row>
      <xdr:rowOff>50131</xdr:rowOff>
    </xdr:from>
    <xdr:to>
      <xdr:col>1</xdr:col>
      <xdr:colOff>2971800</xdr:colOff>
      <xdr:row>47</xdr:row>
      <xdr:rowOff>66674</xdr:rowOff>
    </xdr:to>
    <xdr:sp macro="" textlink="">
      <xdr:nvSpPr>
        <xdr:cNvPr id="22" name="Text Box 14">
          <a:extLst>
            <a:ext uri="{FF2B5EF4-FFF2-40B4-BE49-F238E27FC236}">
              <a16:creationId xmlns:a16="http://schemas.microsoft.com/office/drawing/2014/main" id="{EB55CB49-482E-4BA2-9681-F2384ECB16E4}"/>
            </a:ext>
          </a:extLst>
        </xdr:cNvPr>
        <xdr:cNvSpPr txBox="1">
          <a:spLocks noChangeArrowheads="1"/>
        </xdr:cNvSpPr>
      </xdr:nvSpPr>
      <xdr:spPr bwMode="auto">
        <a:xfrm>
          <a:off x="644525" y="4914231"/>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46</xdr:row>
      <xdr:rowOff>57150</xdr:rowOff>
    </xdr:from>
    <xdr:to>
      <xdr:col>1</xdr:col>
      <xdr:colOff>361950</xdr:colOff>
      <xdr:row>47</xdr:row>
      <xdr:rowOff>57150</xdr:rowOff>
    </xdr:to>
    <xdr:sp macro="" textlink="">
      <xdr:nvSpPr>
        <xdr:cNvPr id="23" name="Text Box 16">
          <a:extLst>
            <a:ext uri="{FF2B5EF4-FFF2-40B4-BE49-F238E27FC236}">
              <a16:creationId xmlns:a16="http://schemas.microsoft.com/office/drawing/2014/main" id="{5E05CECC-A6ED-4BAE-A08D-45374EF3B92B}"/>
            </a:ext>
          </a:extLst>
        </xdr:cNvPr>
        <xdr:cNvSpPr txBox="1">
          <a:spLocks noChangeArrowheads="1"/>
        </xdr:cNvSpPr>
      </xdr:nvSpPr>
      <xdr:spPr bwMode="auto">
        <a:xfrm>
          <a:off x="63500" y="4924425"/>
          <a:ext cx="5556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47</xdr:row>
      <xdr:rowOff>133350</xdr:rowOff>
    </xdr:from>
    <xdr:to>
      <xdr:col>1</xdr:col>
      <xdr:colOff>523875</xdr:colOff>
      <xdr:row>47</xdr:row>
      <xdr:rowOff>276225</xdr:rowOff>
    </xdr:to>
    <xdr:sp macro="" textlink="">
      <xdr:nvSpPr>
        <xdr:cNvPr id="24" name="Text Box 17">
          <a:extLst>
            <a:ext uri="{FF2B5EF4-FFF2-40B4-BE49-F238E27FC236}">
              <a16:creationId xmlns:a16="http://schemas.microsoft.com/office/drawing/2014/main" id="{758374B0-1988-4CC2-9E55-5FB99A019A33}"/>
            </a:ext>
          </a:extLst>
        </xdr:cNvPr>
        <xdr:cNvSpPr txBox="1">
          <a:spLocks noChangeArrowheads="1"/>
        </xdr:cNvSpPr>
      </xdr:nvSpPr>
      <xdr:spPr bwMode="auto">
        <a:xfrm>
          <a:off x="76200" y="5257800"/>
          <a:ext cx="701675" cy="1397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47</xdr:row>
      <xdr:rowOff>133850</xdr:rowOff>
    </xdr:from>
    <xdr:to>
      <xdr:col>1</xdr:col>
      <xdr:colOff>2514600</xdr:colOff>
      <xdr:row>48</xdr:row>
      <xdr:rowOff>30079</xdr:rowOff>
    </xdr:to>
    <xdr:sp macro="" textlink="">
      <xdr:nvSpPr>
        <xdr:cNvPr id="25" name="Text Box 18">
          <a:extLst>
            <a:ext uri="{FF2B5EF4-FFF2-40B4-BE49-F238E27FC236}">
              <a16:creationId xmlns:a16="http://schemas.microsoft.com/office/drawing/2014/main" id="{B350407A-EFB1-404A-94D5-929505A80839}"/>
            </a:ext>
          </a:extLst>
        </xdr:cNvPr>
        <xdr:cNvSpPr txBox="1">
          <a:spLocks noChangeArrowheads="1"/>
        </xdr:cNvSpPr>
      </xdr:nvSpPr>
      <xdr:spPr bwMode="auto">
        <a:xfrm>
          <a:off x="2273468" y="5258300"/>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48</xdr:row>
      <xdr:rowOff>58153</xdr:rowOff>
    </xdr:from>
    <xdr:to>
      <xdr:col>1</xdr:col>
      <xdr:colOff>1966161</xdr:colOff>
      <xdr:row>49</xdr:row>
      <xdr:rowOff>115303</xdr:rowOff>
    </xdr:to>
    <xdr:sp macro="" textlink="">
      <xdr:nvSpPr>
        <xdr:cNvPr id="26" name="Text Box 32">
          <a:extLst>
            <a:ext uri="{FF2B5EF4-FFF2-40B4-BE49-F238E27FC236}">
              <a16:creationId xmlns:a16="http://schemas.microsoft.com/office/drawing/2014/main" id="{C741E1D0-70B3-483A-8948-3EC5C94B32B5}"/>
            </a:ext>
          </a:extLst>
        </xdr:cNvPr>
        <xdr:cNvSpPr txBox="1">
          <a:spLocks noChangeArrowheads="1"/>
        </xdr:cNvSpPr>
      </xdr:nvSpPr>
      <xdr:spPr bwMode="auto">
        <a:xfrm>
          <a:off x="781886" y="5544553"/>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48</xdr:row>
      <xdr:rowOff>107282</xdr:rowOff>
    </xdr:from>
    <xdr:to>
      <xdr:col>1</xdr:col>
      <xdr:colOff>429628</xdr:colOff>
      <xdr:row>49</xdr:row>
      <xdr:rowOff>126332</xdr:rowOff>
    </xdr:to>
    <xdr:sp macro="" textlink="">
      <xdr:nvSpPr>
        <xdr:cNvPr id="27" name="Text Box 34">
          <a:extLst>
            <a:ext uri="{FF2B5EF4-FFF2-40B4-BE49-F238E27FC236}">
              <a16:creationId xmlns:a16="http://schemas.microsoft.com/office/drawing/2014/main" id="{B3225172-79AC-480E-8866-7D8748AD3318}"/>
            </a:ext>
          </a:extLst>
        </xdr:cNvPr>
        <xdr:cNvSpPr txBox="1">
          <a:spLocks noChangeArrowheads="1"/>
        </xdr:cNvSpPr>
      </xdr:nvSpPr>
      <xdr:spPr bwMode="auto">
        <a:xfrm>
          <a:off x="102603" y="5590507"/>
          <a:ext cx="581025"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2533649</xdr:colOff>
      <xdr:row>47</xdr:row>
      <xdr:rowOff>114300</xdr:rowOff>
    </xdr:from>
    <xdr:to>
      <xdr:col>1</xdr:col>
      <xdr:colOff>3003549</xdr:colOff>
      <xdr:row>48</xdr:row>
      <xdr:rowOff>6350</xdr:rowOff>
    </xdr:to>
    <xdr:sp macro="" textlink="">
      <xdr:nvSpPr>
        <xdr:cNvPr id="30" name="Text Box 13">
          <a:extLst>
            <a:ext uri="{FF2B5EF4-FFF2-40B4-BE49-F238E27FC236}">
              <a16:creationId xmlns:a16="http://schemas.microsoft.com/office/drawing/2014/main" id="{5C3F5956-F2E6-4941-931F-D055DF57CA7F}"/>
            </a:ext>
          </a:extLst>
        </xdr:cNvPr>
        <xdr:cNvSpPr txBox="1">
          <a:spLocks noChangeArrowheads="1"/>
        </xdr:cNvSpPr>
      </xdr:nvSpPr>
      <xdr:spPr bwMode="auto">
        <a:xfrm>
          <a:off x="2787649" y="52133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46</xdr:row>
      <xdr:rowOff>57150</xdr:rowOff>
    </xdr:from>
    <xdr:to>
      <xdr:col>1</xdr:col>
      <xdr:colOff>361950</xdr:colOff>
      <xdr:row>47</xdr:row>
      <xdr:rowOff>57150</xdr:rowOff>
    </xdr:to>
    <xdr:sp macro="" textlink="">
      <xdr:nvSpPr>
        <xdr:cNvPr id="32" name="Text Box 16">
          <a:extLst>
            <a:ext uri="{FF2B5EF4-FFF2-40B4-BE49-F238E27FC236}">
              <a16:creationId xmlns:a16="http://schemas.microsoft.com/office/drawing/2014/main" id="{D72179C7-B25E-48AD-81AC-68439A1488C8}"/>
            </a:ext>
          </a:extLst>
        </xdr:cNvPr>
        <xdr:cNvSpPr txBox="1">
          <a:spLocks noChangeArrowheads="1"/>
        </xdr:cNvSpPr>
      </xdr:nvSpPr>
      <xdr:spPr bwMode="auto">
        <a:xfrm>
          <a:off x="66675" y="4902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47</xdr:row>
      <xdr:rowOff>133350</xdr:rowOff>
    </xdr:from>
    <xdr:to>
      <xdr:col>1</xdr:col>
      <xdr:colOff>520700</xdr:colOff>
      <xdr:row>48</xdr:row>
      <xdr:rowOff>0</xdr:rowOff>
    </xdr:to>
    <xdr:sp macro="" textlink="">
      <xdr:nvSpPr>
        <xdr:cNvPr id="33" name="Text Box 17">
          <a:extLst>
            <a:ext uri="{FF2B5EF4-FFF2-40B4-BE49-F238E27FC236}">
              <a16:creationId xmlns:a16="http://schemas.microsoft.com/office/drawing/2014/main" id="{3B06297A-9D5F-4986-91E6-200F3E2DCB5B}"/>
            </a:ext>
          </a:extLst>
        </xdr:cNvPr>
        <xdr:cNvSpPr txBox="1">
          <a:spLocks noChangeArrowheads="1"/>
        </xdr:cNvSpPr>
      </xdr:nvSpPr>
      <xdr:spPr bwMode="auto">
        <a:xfrm>
          <a:off x="76200" y="5232400"/>
          <a:ext cx="70167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47</xdr:row>
      <xdr:rowOff>133850</xdr:rowOff>
    </xdr:from>
    <xdr:to>
      <xdr:col>1</xdr:col>
      <xdr:colOff>2514600</xdr:colOff>
      <xdr:row>48</xdr:row>
      <xdr:rowOff>26904</xdr:rowOff>
    </xdr:to>
    <xdr:sp macro="" textlink="">
      <xdr:nvSpPr>
        <xdr:cNvPr id="34" name="Text Box 18">
          <a:extLst>
            <a:ext uri="{FF2B5EF4-FFF2-40B4-BE49-F238E27FC236}">
              <a16:creationId xmlns:a16="http://schemas.microsoft.com/office/drawing/2014/main" id="{8FABEC55-58BA-4682-8142-98FA0E84324C}"/>
            </a:ext>
          </a:extLst>
        </xdr:cNvPr>
        <xdr:cNvSpPr txBox="1">
          <a:spLocks noChangeArrowheads="1"/>
        </xdr:cNvSpPr>
      </xdr:nvSpPr>
      <xdr:spPr bwMode="auto">
        <a:xfrm>
          <a:off x="2270293" y="5232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48</xdr:row>
      <xdr:rowOff>58153</xdr:rowOff>
    </xdr:from>
    <xdr:to>
      <xdr:col>1</xdr:col>
      <xdr:colOff>1969336</xdr:colOff>
      <xdr:row>49</xdr:row>
      <xdr:rowOff>115303</xdr:rowOff>
    </xdr:to>
    <xdr:sp macro="" textlink="">
      <xdr:nvSpPr>
        <xdr:cNvPr id="35" name="Text Box 32">
          <a:extLst>
            <a:ext uri="{FF2B5EF4-FFF2-40B4-BE49-F238E27FC236}">
              <a16:creationId xmlns:a16="http://schemas.microsoft.com/office/drawing/2014/main" id="{E918009A-4D12-401E-AA69-A76481ABAF70}"/>
            </a:ext>
          </a:extLst>
        </xdr:cNvPr>
        <xdr:cNvSpPr txBox="1">
          <a:spLocks noChangeArrowheads="1"/>
        </xdr:cNvSpPr>
      </xdr:nvSpPr>
      <xdr:spPr bwMode="auto">
        <a:xfrm>
          <a:off x="781886" y="5519153"/>
          <a:ext cx="1438275" cy="2349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48</xdr:row>
      <xdr:rowOff>104107</xdr:rowOff>
    </xdr:from>
    <xdr:to>
      <xdr:col>1</xdr:col>
      <xdr:colOff>426453</xdr:colOff>
      <xdr:row>49</xdr:row>
      <xdr:rowOff>123157</xdr:rowOff>
    </xdr:to>
    <xdr:sp macro="" textlink="">
      <xdr:nvSpPr>
        <xdr:cNvPr id="36" name="Text Box 34">
          <a:extLst>
            <a:ext uri="{FF2B5EF4-FFF2-40B4-BE49-F238E27FC236}">
              <a16:creationId xmlns:a16="http://schemas.microsoft.com/office/drawing/2014/main" id="{FF8621D2-5AB8-478B-96FF-4014578E10CB}"/>
            </a:ext>
          </a:extLst>
        </xdr:cNvPr>
        <xdr:cNvSpPr txBox="1">
          <a:spLocks noChangeArrowheads="1"/>
        </xdr:cNvSpPr>
      </xdr:nvSpPr>
      <xdr:spPr bwMode="auto">
        <a:xfrm>
          <a:off x="105778" y="5568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47</xdr:row>
      <xdr:rowOff>104775</xdr:rowOff>
    </xdr:from>
    <xdr:to>
      <xdr:col>1</xdr:col>
      <xdr:colOff>1962150</xdr:colOff>
      <xdr:row>48</xdr:row>
      <xdr:rowOff>9525</xdr:rowOff>
    </xdr:to>
    <xdr:sp macro="" textlink="">
      <xdr:nvSpPr>
        <xdr:cNvPr id="38" name="Text Box 12">
          <a:extLst>
            <a:ext uri="{FF2B5EF4-FFF2-40B4-BE49-F238E27FC236}">
              <a16:creationId xmlns:a16="http://schemas.microsoft.com/office/drawing/2014/main" id="{FEB43F46-9793-4CE5-BA5C-F49490355BC2}"/>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47</xdr:row>
      <xdr:rowOff>114300</xdr:rowOff>
    </xdr:from>
    <xdr:to>
      <xdr:col>1</xdr:col>
      <xdr:colOff>3000374</xdr:colOff>
      <xdr:row>48</xdr:row>
      <xdr:rowOff>9525</xdr:rowOff>
    </xdr:to>
    <xdr:sp macro="" textlink="">
      <xdr:nvSpPr>
        <xdr:cNvPr id="39" name="Text Box 13">
          <a:extLst>
            <a:ext uri="{FF2B5EF4-FFF2-40B4-BE49-F238E27FC236}">
              <a16:creationId xmlns:a16="http://schemas.microsoft.com/office/drawing/2014/main" id="{967805B5-C6DE-477B-A4B7-B13476292EB3}"/>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46</xdr:row>
      <xdr:rowOff>50131</xdr:rowOff>
    </xdr:from>
    <xdr:to>
      <xdr:col>1</xdr:col>
      <xdr:colOff>2971800</xdr:colOff>
      <xdr:row>47</xdr:row>
      <xdr:rowOff>66674</xdr:rowOff>
    </xdr:to>
    <xdr:sp macro="" textlink="">
      <xdr:nvSpPr>
        <xdr:cNvPr id="40" name="Text Box 14">
          <a:extLst>
            <a:ext uri="{FF2B5EF4-FFF2-40B4-BE49-F238E27FC236}">
              <a16:creationId xmlns:a16="http://schemas.microsoft.com/office/drawing/2014/main" id="{F4E4E002-3AAA-4075-B8FB-D184CE332D8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46</xdr:row>
      <xdr:rowOff>57150</xdr:rowOff>
    </xdr:from>
    <xdr:to>
      <xdr:col>1</xdr:col>
      <xdr:colOff>361950</xdr:colOff>
      <xdr:row>47</xdr:row>
      <xdr:rowOff>57150</xdr:rowOff>
    </xdr:to>
    <xdr:sp macro="" textlink="">
      <xdr:nvSpPr>
        <xdr:cNvPr id="41" name="Text Box 16">
          <a:extLst>
            <a:ext uri="{FF2B5EF4-FFF2-40B4-BE49-F238E27FC236}">
              <a16:creationId xmlns:a16="http://schemas.microsoft.com/office/drawing/2014/main" id="{2DA5EC24-5BA3-472C-9ED5-E2ACF28B8C45}"/>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47</xdr:row>
      <xdr:rowOff>133350</xdr:rowOff>
    </xdr:from>
    <xdr:to>
      <xdr:col>1</xdr:col>
      <xdr:colOff>523875</xdr:colOff>
      <xdr:row>47</xdr:row>
      <xdr:rowOff>276225</xdr:rowOff>
    </xdr:to>
    <xdr:sp macro="" textlink="">
      <xdr:nvSpPr>
        <xdr:cNvPr id="42" name="Text Box 17">
          <a:extLst>
            <a:ext uri="{FF2B5EF4-FFF2-40B4-BE49-F238E27FC236}">
              <a16:creationId xmlns:a16="http://schemas.microsoft.com/office/drawing/2014/main" id="{7DA9CD3E-5D88-4F5D-9047-49B59B5A9DE9}"/>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47</xdr:row>
      <xdr:rowOff>133850</xdr:rowOff>
    </xdr:from>
    <xdr:to>
      <xdr:col>1</xdr:col>
      <xdr:colOff>2514600</xdr:colOff>
      <xdr:row>48</xdr:row>
      <xdr:rowOff>30079</xdr:rowOff>
    </xdr:to>
    <xdr:sp macro="" textlink="">
      <xdr:nvSpPr>
        <xdr:cNvPr id="43" name="Text Box 18">
          <a:extLst>
            <a:ext uri="{FF2B5EF4-FFF2-40B4-BE49-F238E27FC236}">
              <a16:creationId xmlns:a16="http://schemas.microsoft.com/office/drawing/2014/main" id="{81019EFF-8309-49EA-82F1-58C10BD3F75F}"/>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48</xdr:row>
      <xdr:rowOff>58153</xdr:rowOff>
    </xdr:from>
    <xdr:to>
      <xdr:col>1</xdr:col>
      <xdr:colOff>1966161</xdr:colOff>
      <xdr:row>49</xdr:row>
      <xdr:rowOff>115303</xdr:rowOff>
    </xdr:to>
    <xdr:sp macro="" textlink="">
      <xdr:nvSpPr>
        <xdr:cNvPr id="44" name="Text Box 32">
          <a:extLst>
            <a:ext uri="{FF2B5EF4-FFF2-40B4-BE49-F238E27FC236}">
              <a16:creationId xmlns:a16="http://schemas.microsoft.com/office/drawing/2014/main" id="{F8A87715-A75C-4BE2-B4F8-8EAEED57699D}"/>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48</xdr:row>
      <xdr:rowOff>107282</xdr:rowOff>
    </xdr:from>
    <xdr:to>
      <xdr:col>1</xdr:col>
      <xdr:colOff>429628</xdr:colOff>
      <xdr:row>49</xdr:row>
      <xdr:rowOff>126332</xdr:rowOff>
    </xdr:to>
    <xdr:sp macro="" textlink="">
      <xdr:nvSpPr>
        <xdr:cNvPr id="45" name="Text Box 34">
          <a:extLst>
            <a:ext uri="{FF2B5EF4-FFF2-40B4-BE49-F238E27FC236}">
              <a16:creationId xmlns:a16="http://schemas.microsoft.com/office/drawing/2014/main" id="{BF6F6EFA-C5DE-435F-8825-43951912ED2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47</xdr:row>
      <xdr:rowOff>250658</xdr:rowOff>
    </xdr:from>
    <xdr:to>
      <xdr:col>3</xdr:col>
      <xdr:colOff>280736</xdr:colOff>
      <xdr:row>47</xdr:row>
      <xdr:rowOff>250658</xdr:rowOff>
    </xdr:to>
    <xdr:cxnSp macro="">
      <xdr:nvCxnSpPr>
        <xdr:cNvPr id="46" name="Conector de seta reta 9">
          <a:extLst>
            <a:ext uri="{FF2B5EF4-FFF2-40B4-BE49-F238E27FC236}">
              <a16:creationId xmlns:a16="http://schemas.microsoft.com/office/drawing/2014/main" id="{5D8CC836-2576-4E7E-8C18-9CF63D79FEAC}"/>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47</xdr:row>
      <xdr:rowOff>104775</xdr:rowOff>
    </xdr:from>
    <xdr:to>
      <xdr:col>1</xdr:col>
      <xdr:colOff>1962150</xdr:colOff>
      <xdr:row>48</xdr:row>
      <xdr:rowOff>9525</xdr:rowOff>
    </xdr:to>
    <xdr:sp macro="" textlink="">
      <xdr:nvSpPr>
        <xdr:cNvPr id="47" name="Text Box 12">
          <a:extLst>
            <a:ext uri="{FF2B5EF4-FFF2-40B4-BE49-F238E27FC236}">
              <a16:creationId xmlns:a16="http://schemas.microsoft.com/office/drawing/2014/main" id="{996D53FD-4DF4-4B7B-A7C4-99420C36AC9A}"/>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47</xdr:row>
      <xdr:rowOff>114300</xdr:rowOff>
    </xdr:from>
    <xdr:to>
      <xdr:col>1</xdr:col>
      <xdr:colOff>3000374</xdr:colOff>
      <xdr:row>48</xdr:row>
      <xdr:rowOff>9525</xdr:rowOff>
    </xdr:to>
    <xdr:sp macro="" textlink="">
      <xdr:nvSpPr>
        <xdr:cNvPr id="48" name="Text Box 13">
          <a:extLst>
            <a:ext uri="{FF2B5EF4-FFF2-40B4-BE49-F238E27FC236}">
              <a16:creationId xmlns:a16="http://schemas.microsoft.com/office/drawing/2014/main" id="{C91FB856-022C-425C-8D36-462EBA8CE437}"/>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46</xdr:row>
      <xdr:rowOff>50131</xdr:rowOff>
    </xdr:from>
    <xdr:to>
      <xdr:col>1</xdr:col>
      <xdr:colOff>2971800</xdr:colOff>
      <xdr:row>47</xdr:row>
      <xdr:rowOff>66674</xdr:rowOff>
    </xdr:to>
    <xdr:sp macro="" textlink="">
      <xdr:nvSpPr>
        <xdr:cNvPr id="49" name="Text Box 14">
          <a:extLst>
            <a:ext uri="{FF2B5EF4-FFF2-40B4-BE49-F238E27FC236}">
              <a16:creationId xmlns:a16="http://schemas.microsoft.com/office/drawing/2014/main" id="{53B42EDC-8B3A-405F-B4CA-0BC976A56A6C}"/>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46</xdr:row>
      <xdr:rowOff>57150</xdr:rowOff>
    </xdr:from>
    <xdr:to>
      <xdr:col>1</xdr:col>
      <xdr:colOff>361950</xdr:colOff>
      <xdr:row>47</xdr:row>
      <xdr:rowOff>57150</xdr:rowOff>
    </xdr:to>
    <xdr:sp macro="" textlink="">
      <xdr:nvSpPr>
        <xdr:cNvPr id="50" name="Text Box 16">
          <a:extLst>
            <a:ext uri="{FF2B5EF4-FFF2-40B4-BE49-F238E27FC236}">
              <a16:creationId xmlns:a16="http://schemas.microsoft.com/office/drawing/2014/main" id="{87C05E9C-0E8A-47D6-9D16-DFCC9A87D5DE}"/>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47</xdr:row>
      <xdr:rowOff>133350</xdr:rowOff>
    </xdr:from>
    <xdr:to>
      <xdr:col>1</xdr:col>
      <xdr:colOff>523875</xdr:colOff>
      <xdr:row>47</xdr:row>
      <xdr:rowOff>276225</xdr:rowOff>
    </xdr:to>
    <xdr:sp macro="" textlink="">
      <xdr:nvSpPr>
        <xdr:cNvPr id="51" name="Text Box 17">
          <a:extLst>
            <a:ext uri="{FF2B5EF4-FFF2-40B4-BE49-F238E27FC236}">
              <a16:creationId xmlns:a16="http://schemas.microsoft.com/office/drawing/2014/main" id="{2986E398-ED18-444E-BE25-CA354BDE1AAB}"/>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47</xdr:row>
      <xdr:rowOff>133850</xdr:rowOff>
    </xdr:from>
    <xdr:to>
      <xdr:col>1</xdr:col>
      <xdr:colOff>2514600</xdr:colOff>
      <xdr:row>48</xdr:row>
      <xdr:rowOff>30079</xdr:rowOff>
    </xdr:to>
    <xdr:sp macro="" textlink="">
      <xdr:nvSpPr>
        <xdr:cNvPr id="52" name="Text Box 18">
          <a:extLst>
            <a:ext uri="{FF2B5EF4-FFF2-40B4-BE49-F238E27FC236}">
              <a16:creationId xmlns:a16="http://schemas.microsoft.com/office/drawing/2014/main" id="{E90EE854-00DF-4D2A-972E-2D519F2E8DA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48</xdr:row>
      <xdr:rowOff>58153</xdr:rowOff>
    </xdr:from>
    <xdr:to>
      <xdr:col>1</xdr:col>
      <xdr:colOff>1966161</xdr:colOff>
      <xdr:row>49</xdr:row>
      <xdr:rowOff>115303</xdr:rowOff>
    </xdr:to>
    <xdr:sp macro="" textlink="">
      <xdr:nvSpPr>
        <xdr:cNvPr id="53" name="Text Box 32">
          <a:extLst>
            <a:ext uri="{FF2B5EF4-FFF2-40B4-BE49-F238E27FC236}">
              <a16:creationId xmlns:a16="http://schemas.microsoft.com/office/drawing/2014/main" id="{3294E59D-CB5F-4255-AB5F-DDC18E2A6788}"/>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48</xdr:row>
      <xdr:rowOff>107282</xdr:rowOff>
    </xdr:from>
    <xdr:to>
      <xdr:col>1</xdr:col>
      <xdr:colOff>429628</xdr:colOff>
      <xdr:row>49</xdr:row>
      <xdr:rowOff>126332</xdr:rowOff>
    </xdr:to>
    <xdr:sp macro="" textlink="">
      <xdr:nvSpPr>
        <xdr:cNvPr id="54" name="Text Box 34">
          <a:extLst>
            <a:ext uri="{FF2B5EF4-FFF2-40B4-BE49-F238E27FC236}">
              <a16:creationId xmlns:a16="http://schemas.microsoft.com/office/drawing/2014/main" id="{E6512866-2406-409F-B299-935A73200BB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47</xdr:row>
      <xdr:rowOff>250658</xdr:rowOff>
    </xdr:from>
    <xdr:to>
      <xdr:col>3</xdr:col>
      <xdr:colOff>280736</xdr:colOff>
      <xdr:row>47</xdr:row>
      <xdr:rowOff>250658</xdr:rowOff>
    </xdr:to>
    <xdr:cxnSp macro="">
      <xdr:nvCxnSpPr>
        <xdr:cNvPr id="55" name="Conector de seta reta 9">
          <a:extLst>
            <a:ext uri="{FF2B5EF4-FFF2-40B4-BE49-F238E27FC236}">
              <a16:creationId xmlns:a16="http://schemas.microsoft.com/office/drawing/2014/main" id="{09D06750-9C4D-442C-8C2A-032713870C3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47</xdr:row>
      <xdr:rowOff>104775</xdr:rowOff>
    </xdr:from>
    <xdr:to>
      <xdr:col>1</xdr:col>
      <xdr:colOff>1962150</xdr:colOff>
      <xdr:row>48</xdr:row>
      <xdr:rowOff>9525</xdr:rowOff>
    </xdr:to>
    <xdr:sp macro="" textlink="">
      <xdr:nvSpPr>
        <xdr:cNvPr id="56" name="Text Box 12">
          <a:extLst>
            <a:ext uri="{FF2B5EF4-FFF2-40B4-BE49-F238E27FC236}">
              <a16:creationId xmlns:a16="http://schemas.microsoft.com/office/drawing/2014/main" id="{D0D80EDF-9168-40B4-BB12-1FB2B632D705}"/>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47</xdr:row>
      <xdr:rowOff>114300</xdr:rowOff>
    </xdr:from>
    <xdr:to>
      <xdr:col>1</xdr:col>
      <xdr:colOff>3000374</xdr:colOff>
      <xdr:row>48</xdr:row>
      <xdr:rowOff>9525</xdr:rowOff>
    </xdr:to>
    <xdr:sp macro="" textlink="">
      <xdr:nvSpPr>
        <xdr:cNvPr id="57" name="Text Box 13">
          <a:extLst>
            <a:ext uri="{FF2B5EF4-FFF2-40B4-BE49-F238E27FC236}">
              <a16:creationId xmlns:a16="http://schemas.microsoft.com/office/drawing/2014/main" id="{0CA990AE-EAEF-4F3A-BF40-78DC87D34A72}"/>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46</xdr:row>
      <xdr:rowOff>50131</xdr:rowOff>
    </xdr:from>
    <xdr:to>
      <xdr:col>1</xdr:col>
      <xdr:colOff>2971800</xdr:colOff>
      <xdr:row>47</xdr:row>
      <xdr:rowOff>66674</xdr:rowOff>
    </xdr:to>
    <xdr:sp macro="" textlink="">
      <xdr:nvSpPr>
        <xdr:cNvPr id="58" name="Text Box 14">
          <a:extLst>
            <a:ext uri="{FF2B5EF4-FFF2-40B4-BE49-F238E27FC236}">
              <a16:creationId xmlns:a16="http://schemas.microsoft.com/office/drawing/2014/main" id="{C53E053C-C26A-4EEC-9ADD-2FAD37B0FE00}"/>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46</xdr:row>
      <xdr:rowOff>57150</xdr:rowOff>
    </xdr:from>
    <xdr:to>
      <xdr:col>1</xdr:col>
      <xdr:colOff>361950</xdr:colOff>
      <xdr:row>47</xdr:row>
      <xdr:rowOff>57150</xdr:rowOff>
    </xdr:to>
    <xdr:sp macro="" textlink="">
      <xdr:nvSpPr>
        <xdr:cNvPr id="59" name="Text Box 16">
          <a:extLst>
            <a:ext uri="{FF2B5EF4-FFF2-40B4-BE49-F238E27FC236}">
              <a16:creationId xmlns:a16="http://schemas.microsoft.com/office/drawing/2014/main" id="{B2A0694D-9018-4D19-ADF3-1DB59D63760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47</xdr:row>
      <xdr:rowOff>133350</xdr:rowOff>
    </xdr:from>
    <xdr:to>
      <xdr:col>1</xdr:col>
      <xdr:colOff>523875</xdr:colOff>
      <xdr:row>47</xdr:row>
      <xdr:rowOff>276225</xdr:rowOff>
    </xdr:to>
    <xdr:sp macro="" textlink="">
      <xdr:nvSpPr>
        <xdr:cNvPr id="60" name="Text Box 17">
          <a:extLst>
            <a:ext uri="{FF2B5EF4-FFF2-40B4-BE49-F238E27FC236}">
              <a16:creationId xmlns:a16="http://schemas.microsoft.com/office/drawing/2014/main" id="{44F649FD-253A-4157-8B7F-833BEA37CBCC}"/>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47</xdr:row>
      <xdr:rowOff>133850</xdr:rowOff>
    </xdr:from>
    <xdr:to>
      <xdr:col>1</xdr:col>
      <xdr:colOff>2514600</xdr:colOff>
      <xdr:row>48</xdr:row>
      <xdr:rowOff>30079</xdr:rowOff>
    </xdr:to>
    <xdr:sp macro="" textlink="">
      <xdr:nvSpPr>
        <xdr:cNvPr id="61" name="Text Box 18">
          <a:extLst>
            <a:ext uri="{FF2B5EF4-FFF2-40B4-BE49-F238E27FC236}">
              <a16:creationId xmlns:a16="http://schemas.microsoft.com/office/drawing/2014/main" id="{9DDA8534-930E-4A77-83D4-70C68298D46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48</xdr:row>
      <xdr:rowOff>58153</xdr:rowOff>
    </xdr:from>
    <xdr:to>
      <xdr:col>1</xdr:col>
      <xdr:colOff>1966161</xdr:colOff>
      <xdr:row>49</xdr:row>
      <xdr:rowOff>115303</xdr:rowOff>
    </xdr:to>
    <xdr:sp macro="" textlink="">
      <xdr:nvSpPr>
        <xdr:cNvPr id="62" name="Text Box 32">
          <a:extLst>
            <a:ext uri="{FF2B5EF4-FFF2-40B4-BE49-F238E27FC236}">
              <a16:creationId xmlns:a16="http://schemas.microsoft.com/office/drawing/2014/main" id="{C2EBE619-17CE-4F87-990A-026C98FC0BA4}"/>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48</xdr:row>
      <xdr:rowOff>107282</xdr:rowOff>
    </xdr:from>
    <xdr:to>
      <xdr:col>1</xdr:col>
      <xdr:colOff>429628</xdr:colOff>
      <xdr:row>49</xdr:row>
      <xdr:rowOff>126332</xdr:rowOff>
    </xdr:to>
    <xdr:sp macro="" textlink="">
      <xdr:nvSpPr>
        <xdr:cNvPr id="63" name="Text Box 34">
          <a:extLst>
            <a:ext uri="{FF2B5EF4-FFF2-40B4-BE49-F238E27FC236}">
              <a16:creationId xmlns:a16="http://schemas.microsoft.com/office/drawing/2014/main" id="{A7720E38-A608-415C-A93C-F6E7E15D771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47</xdr:row>
      <xdr:rowOff>250658</xdr:rowOff>
    </xdr:from>
    <xdr:to>
      <xdr:col>3</xdr:col>
      <xdr:colOff>280736</xdr:colOff>
      <xdr:row>47</xdr:row>
      <xdr:rowOff>250658</xdr:rowOff>
    </xdr:to>
    <xdr:cxnSp macro="">
      <xdr:nvCxnSpPr>
        <xdr:cNvPr id="64" name="Conector de seta reta 9">
          <a:extLst>
            <a:ext uri="{FF2B5EF4-FFF2-40B4-BE49-F238E27FC236}">
              <a16:creationId xmlns:a16="http://schemas.microsoft.com/office/drawing/2014/main" id="{04C10949-ED8B-4D83-A428-8374BE072B61}"/>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47</xdr:row>
      <xdr:rowOff>101600</xdr:rowOff>
    </xdr:from>
    <xdr:to>
      <xdr:col>1</xdr:col>
      <xdr:colOff>1962150</xdr:colOff>
      <xdr:row>48</xdr:row>
      <xdr:rowOff>6350</xdr:rowOff>
    </xdr:to>
    <xdr:sp macro="" textlink="">
      <xdr:nvSpPr>
        <xdr:cNvPr id="65" name="Text Box 12">
          <a:extLst>
            <a:ext uri="{FF2B5EF4-FFF2-40B4-BE49-F238E27FC236}">
              <a16:creationId xmlns:a16="http://schemas.microsoft.com/office/drawing/2014/main" id="{44508DB2-C84E-463A-B1C5-70F72BCD6018}"/>
            </a:ext>
          </a:extLst>
        </xdr:cNvPr>
        <xdr:cNvSpPr txBox="1">
          <a:spLocks noChangeArrowheads="1"/>
        </xdr:cNvSpPr>
      </xdr:nvSpPr>
      <xdr:spPr bwMode="auto">
        <a:xfrm>
          <a:off x="781050" y="54070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47</xdr:row>
      <xdr:rowOff>114300</xdr:rowOff>
    </xdr:from>
    <xdr:to>
      <xdr:col>1</xdr:col>
      <xdr:colOff>3003549</xdr:colOff>
      <xdr:row>48</xdr:row>
      <xdr:rowOff>6350</xdr:rowOff>
    </xdr:to>
    <xdr:sp macro="" textlink="">
      <xdr:nvSpPr>
        <xdr:cNvPr id="66" name="Text Box 13">
          <a:extLst>
            <a:ext uri="{FF2B5EF4-FFF2-40B4-BE49-F238E27FC236}">
              <a16:creationId xmlns:a16="http://schemas.microsoft.com/office/drawing/2014/main" id="{F6E85E63-A722-4919-BB95-6FE2C3EC2F6A}"/>
            </a:ext>
          </a:extLst>
        </xdr:cNvPr>
        <xdr:cNvSpPr txBox="1">
          <a:spLocks noChangeArrowheads="1"/>
        </xdr:cNvSpPr>
      </xdr:nvSpPr>
      <xdr:spPr bwMode="auto">
        <a:xfrm>
          <a:off x="2781299" y="5419725"/>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387350</xdr:colOff>
      <xdr:row>46</xdr:row>
      <xdr:rowOff>46956</xdr:rowOff>
    </xdr:from>
    <xdr:to>
      <xdr:col>1</xdr:col>
      <xdr:colOff>2971800</xdr:colOff>
      <xdr:row>47</xdr:row>
      <xdr:rowOff>69849</xdr:rowOff>
    </xdr:to>
    <xdr:sp macro="" textlink="">
      <xdr:nvSpPr>
        <xdr:cNvPr id="67" name="Text Box 14">
          <a:extLst>
            <a:ext uri="{FF2B5EF4-FFF2-40B4-BE49-F238E27FC236}">
              <a16:creationId xmlns:a16="http://schemas.microsoft.com/office/drawing/2014/main" id="{0ED17BBB-5A63-433F-99F3-2EA18451883B}"/>
            </a:ext>
          </a:extLst>
        </xdr:cNvPr>
        <xdr:cNvSpPr txBox="1">
          <a:spLocks noChangeArrowheads="1"/>
        </xdr:cNvSpPr>
      </xdr:nvSpPr>
      <xdr:spPr bwMode="auto">
        <a:xfrm>
          <a:off x="635000" y="5095206"/>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46</xdr:row>
      <xdr:rowOff>57150</xdr:rowOff>
    </xdr:from>
    <xdr:to>
      <xdr:col>1</xdr:col>
      <xdr:colOff>361950</xdr:colOff>
      <xdr:row>47</xdr:row>
      <xdr:rowOff>57150</xdr:rowOff>
    </xdr:to>
    <xdr:sp macro="" textlink="">
      <xdr:nvSpPr>
        <xdr:cNvPr id="68" name="Text Box 16">
          <a:extLst>
            <a:ext uri="{FF2B5EF4-FFF2-40B4-BE49-F238E27FC236}">
              <a16:creationId xmlns:a16="http://schemas.microsoft.com/office/drawing/2014/main" id="{C5BBFF8D-98DB-4631-B724-5D19A3405D4A}"/>
            </a:ext>
          </a:extLst>
        </xdr:cNvPr>
        <xdr:cNvSpPr txBox="1">
          <a:spLocks noChangeArrowheads="1"/>
        </xdr:cNvSpPr>
      </xdr:nvSpPr>
      <xdr:spPr bwMode="auto">
        <a:xfrm>
          <a:off x="63500" y="5105400"/>
          <a:ext cx="546100"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47</xdr:row>
      <xdr:rowOff>133350</xdr:rowOff>
    </xdr:from>
    <xdr:to>
      <xdr:col>1</xdr:col>
      <xdr:colOff>520700</xdr:colOff>
      <xdr:row>48</xdr:row>
      <xdr:rowOff>0</xdr:rowOff>
    </xdr:to>
    <xdr:sp macro="" textlink="">
      <xdr:nvSpPr>
        <xdr:cNvPr id="69" name="Text Box 17">
          <a:extLst>
            <a:ext uri="{FF2B5EF4-FFF2-40B4-BE49-F238E27FC236}">
              <a16:creationId xmlns:a16="http://schemas.microsoft.com/office/drawing/2014/main" id="{6F5FC636-82C2-421B-86C5-4810DEEC5099}"/>
            </a:ext>
          </a:extLst>
        </xdr:cNvPr>
        <xdr:cNvSpPr txBox="1">
          <a:spLocks noChangeArrowheads="1"/>
        </xdr:cNvSpPr>
      </xdr:nvSpPr>
      <xdr:spPr bwMode="auto">
        <a:xfrm>
          <a:off x="76200" y="5438775"/>
          <a:ext cx="692150"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47</xdr:row>
      <xdr:rowOff>133850</xdr:rowOff>
    </xdr:from>
    <xdr:to>
      <xdr:col>1</xdr:col>
      <xdr:colOff>2514600</xdr:colOff>
      <xdr:row>48</xdr:row>
      <xdr:rowOff>26904</xdr:rowOff>
    </xdr:to>
    <xdr:sp macro="" textlink="">
      <xdr:nvSpPr>
        <xdr:cNvPr id="70" name="Text Box 18">
          <a:extLst>
            <a:ext uri="{FF2B5EF4-FFF2-40B4-BE49-F238E27FC236}">
              <a16:creationId xmlns:a16="http://schemas.microsoft.com/office/drawing/2014/main" id="{8DCD8310-D0B8-43BE-BB51-7953C4BB163A}"/>
            </a:ext>
          </a:extLst>
        </xdr:cNvPr>
        <xdr:cNvSpPr txBox="1">
          <a:spLocks noChangeArrowheads="1"/>
        </xdr:cNvSpPr>
      </xdr:nvSpPr>
      <xdr:spPr bwMode="auto">
        <a:xfrm>
          <a:off x="2263943" y="5439275"/>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48</xdr:row>
      <xdr:rowOff>58153</xdr:rowOff>
    </xdr:from>
    <xdr:to>
      <xdr:col>1</xdr:col>
      <xdr:colOff>1969336</xdr:colOff>
      <xdr:row>49</xdr:row>
      <xdr:rowOff>115303</xdr:rowOff>
    </xdr:to>
    <xdr:sp macro="" textlink="">
      <xdr:nvSpPr>
        <xdr:cNvPr id="71" name="Text Box 32">
          <a:extLst>
            <a:ext uri="{FF2B5EF4-FFF2-40B4-BE49-F238E27FC236}">
              <a16:creationId xmlns:a16="http://schemas.microsoft.com/office/drawing/2014/main" id="{7A7243AA-F901-4253-9173-2BD5A860516E}"/>
            </a:ext>
          </a:extLst>
        </xdr:cNvPr>
        <xdr:cNvSpPr txBox="1">
          <a:spLocks noChangeArrowheads="1"/>
        </xdr:cNvSpPr>
      </xdr:nvSpPr>
      <xdr:spPr bwMode="auto">
        <a:xfrm>
          <a:off x="772361" y="5725528"/>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48</xdr:row>
      <xdr:rowOff>104107</xdr:rowOff>
    </xdr:from>
    <xdr:to>
      <xdr:col>1</xdr:col>
      <xdr:colOff>426453</xdr:colOff>
      <xdr:row>49</xdr:row>
      <xdr:rowOff>123157</xdr:rowOff>
    </xdr:to>
    <xdr:sp macro="" textlink="">
      <xdr:nvSpPr>
        <xdr:cNvPr id="72" name="Text Box 34">
          <a:extLst>
            <a:ext uri="{FF2B5EF4-FFF2-40B4-BE49-F238E27FC236}">
              <a16:creationId xmlns:a16="http://schemas.microsoft.com/office/drawing/2014/main" id="{5CF037A8-EABD-419F-8446-9CC59388B12C}"/>
            </a:ext>
          </a:extLst>
        </xdr:cNvPr>
        <xdr:cNvSpPr txBox="1">
          <a:spLocks noChangeArrowheads="1"/>
        </xdr:cNvSpPr>
      </xdr:nvSpPr>
      <xdr:spPr bwMode="auto">
        <a:xfrm>
          <a:off x="102603" y="57714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6851</xdr:colOff>
      <xdr:row>48</xdr:row>
      <xdr:rowOff>6183</xdr:rowOff>
    </xdr:from>
    <xdr:to>
      <xdr:col>3</xdr:col>
      <xdr:colOff>277561</xdr:colOff>
      <xdr:row>48</xdr:row>
      <xdr:rowOff>6183</xdr:rowOff>
    </xdr:to>
    <xdr:cxnSp macro="">
      <xdr:nvCxnSpPr>
        <xdr:cNvPr id="73" name="Conector de seta reta 9">
          <a:extLst>
            <a:ext uri="{FF2B5EF4-FFF2-40B4-BE49-F238E27FC236}">
              <a16:creationId xmlns:a16="http://schemas.microsoft.com/office/drawing/2014/main" id="{EA2CF30B-E303-4617-8EEB-65F479FEF7F8}"/>
            </a:ext>
          </a:extLst>
        </xdr:cNvPr>
        <xdr:cNvCxnSpPr/>
      </xdr:nvCxnSpPr>
      <xdr:spPr>
        <a:xfrm>
          <a:off x="3883526" y="56735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47</xdr:row>
      <xdr:rowOff>104775</xdr:rowOff>
    </xdr:from>
    <xdr:to>
      <xdr:col>1</xdr:col>
      <xdr:colOff>1962150</xdr:colOff>
      <xdr:row>48</xdr:row>
      <xdr:rowOff>9525</xdr:rowOff>
    </xdr:to>
    <xdr:sp macro="" textlink="">
      <xdr:nvSpPr>
        <xdr:cNvPr id="74" name="Text Box 12">
          <a:extLst>
            <a:ext uri="{FF2B5EF4-FFF2-40B4-BE49-F238E27FC236}">
              <a16:creationId xmlns:a16="http://schemas.microsoft.com/office/drawing/2014/main" id="{ABFA9F84-8893-4B3A-A595-6C5CA7A56214}"/>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47</xdr:row>
      <xdr:rowOff>114300</xdr:rowOff>
    </xdr:from>
    <xdr:to>
      <xdr:col>1</xdr:col>
      <xdr:colOff>3000374</xdr:colOff>
      <xdr:row>48</xdr:row>
      <xdr:rowOff>9525</xdr:rowOff>
    </xdr:to>
    <xdr:sp macro="" textlink="">
      <xdr:nvSpPr>
        <xdr:cNvPr id="75" name="Text Box 13">
          <a:extLst>
            <a:ext uri="{FF2B5EF4-FFF2-40B4-BE49-F238E27FC236}">
              <a16:creationId xmlns:a16="http://schemas.microsoft.com/office/drawing/2014/main" id="{ADA75CD8-C8FE-4364-89D4-B675960A02FB}"/>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46</xdr:row>
      <xdr:rowOff>50131</xdr:rowOff>
    </xdr:from>
    <xdr:to>
      <xdr:col>1</xdr:col>
      <xdr:colOff>2971800</xdr:colOff>
      <xdr:row>47</xdr:row>
      <xdr:rowOff>66674</xdr:rowOff>
    </xdr:to>
    <xdr:sp macro="" textlink="">
      <xdr:nvSpPr>
        <xdr:cNvPr id="76" name="Text Box 14">
          <a:extLst>
            <a:ext uri="{FF2B5EF4-FFF2-40B4-BE49-F238E27FC236}">
              <a16:creationId xmlns:a16="http://schemas.microsoft.com/office/drawing/2014/main" id="{7B1E958C-0CBC-4BCA-9397-E28EDBE75754}"/>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46</xdr:row>
      <xdr:rowOff>57150</xdr:rowOff>
    </xdr:from>
    <xdr:to>
      <xdr:col>1</xdr:col>
      <xdr:colOff>361950</xdr:colOff>
      <xdr:row>47</xdr:row>
      <xdr:rowOff>57150</xdr:rowOff>
    </xdr:to>
    <xdr:sp macro="" textlink="">
      <xdr:nvSpPr>
        <xdr:cNvPr id="77" name="Text Box 16">
          <a:extLst>
            <a:ext uri="{FF2B5EF4-FFF2-40B4-BE49-F238E27FC236}">
              <a16:creationId xmlns:a16="http://schemas.microsoft.com/office/drawing/2014/main" id="{9C05C01B-9D01-45C1-A9BF-514D339211A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47</xdr:row>
      <xdr:rowOff>133350</xdr:rowOff>
    </xdr:from>
    <xdr:to>
      <xdr:col>1</xdr:col>
      <xdr:colOff>523875</xdr:colOff>
      <xdr:row>47</xdr:row>
      <xdr:rowOff>276225</xdr:rowOff>
    </xdr:to>
    <xdr:sp macro="" textlink="">
      <xdr:nvSpPr>
        <xdr:cNvPr id="78" name="Text Box 17">
          <a:extLst>
            <a:ext uri="{FF2B5EF4-FFF2-40B4-BE49-F238E27FC236}">
              <a16:creationId xmlns:a16="http://schemas.microsoft.com/office/drawing/2014/main" id="{0A2D2B19-4F6C-4828-BCA4-A47A78FAB0CA}"/>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47</xdr:row>
      <xdr:rowOff>133850</xdr:rowOff>
    </xdr:from>
    <xdr:to>
      <xdr:col>1</xdr:col>
      <xdr:colOff>2514600</xdr:colOff>
      <xdr:row>48</xdr:row>
      <xdr:rowOff>30079</xdr:rowOff>
    </xdr:to>
    <xdr:sp macro="" textlink="">
      <xdr:nvSpPr>
        <xdr:cNvPr id="79" name="Text Box 18">
          <a:extLst>
            <a:ext uri="{FF2B5EF4-FFF2-40B4-BE49-F238E27FC236}">
              <a16:creationId xmlns:a16="http://schemas.microsoft.com/office/drawing/2014/main" id="{CF8387DD-6BC8-4A9B-ADE6-796E35DCD35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48</xdr:row>
      <xdr:rowOff>58153</xdr:rowOff>
    </xdr:from>
    <xdr:to>
      <xdr:col>1</xdr:col>
      <xdr:colOff>1966161</xdr:colOff>
      <xdr:row>49</xdr:row>
      <xdr:rowOff>115303</xdr:rowOff>
    </xdr:to>
    <xdr:sp macro="" textlink="">
      <xdr:nvSpPr>
        <xdr:cNvPr id="80" name="Text Box 32">
          <a:extLst>
            <a:ext uri="{FF2B5EF4-FFF2-40B4-BE49-F238E27FC236}">
              <a16:creationId xmlns:a16="http://schemas.microsoft.com/office/drawing/2014/main" id="{A3F31FDC-6CDD-4ABB-B0F1-B4527B8340D1}"/>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48</xdr:row>
      <xdr:rowOff>107282</xdr:rowOff>
    </xdr:from>
    <xdr:to>
      <xdr:col>1</xdr:col>
      <xdr:colOff>429628</xdr:colOff>
      <xdr:row>49</xdr:row>
      <xdr:rowOff>126332</xdr:rowOff>
    </xdr:to>
    <xdr:sp macro="" textlink="">
      <xdr:nvSpPr>
        <xdr:cNvPr id="81" name="Text Box 34">
          <a:extLst>
            <a:ext uri="{FF2B5EF4-FFF2-40B4-BE49-F238E27FC236}">
              <a16:creationId xmlns:a16="http://schemas.microsoft.com/office/drawing/2014/main" id="{D0AF1C3D-D841-4A1A-B742-C462C589A30B}"/>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47</xdr:row>
      <xdr:rowOff>250658</xdr:rowOff>
    </xdr:from>
    <xdr:to>
      <xdr:col>3</xdr:col>
      <xdr:colOff>280736</xdr:colOff>
      <xdr:row>47</xdr:row>
      <xdr:rowOff>250658</xdr:rowOff>
    </xdr:to>
    <xdr:cxnSp macro="">
      <xdr:nvCxnSpPr>
        <xdr:cNvPr id="82" name="Conector de seta reta 9">
          <a:extLst>
            <a:ext uri="{FF2B5EF4-FFF2-40B4-BE49-F238E27FC236}">
              <a16:creationId xmlns:a16="http://schemas.microsoft.com/office/drawing/2014/main" id="{C8D73A0E-FAD0-4FDE-81FF-3EA6C34880E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47</xdr:row>
      <xdr:rowOff>104775</xdr:rowOff>
    </xdr:from>
    <xdr:to>
      <xdr:col>1</xdr:col>
      <xdr:colOff>1962150</xdr:colOff>
      <xdr:row>48</xdr:row>
      <xdr:rowOff>9525</xdr:rowOff>
    </xdr:to>
    <xdr:sp macro="" textlink="">
      <xdr:nvSpPr>
        <xdr:cNvPr id="83" name="Text Box 12">
          <a:extLst>
            <a:ext uri="{FF2B5EF4-FFF2-40B4-BE49-F238E27FC236}">
              <a16:creationId xmlns:a16="http://schemas.microsoft.com/office/drawing/2014/main" id="{639C3105-E537-4C19-B222-D35F65CD2B40}"/>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47</xdr:row>
      <xdr:rowOff>114300</xdr:rowOff>
    </xdr:from>
    <xdr:to>
      <xdr:col>1</xdr:col>
      <xdr:colOff>3000374</xdr:colOff>
      <xdr:row>48</xdr:row>
      <xdr:rowOff>9525</xdr:rowOff>
    </xdr:to>
    <xdr:sp macro="" textlink="">
      <xdr:nvSpPr>
        <xdr:cNvPr id="84" name="Text Box 13">
          <a:extLst>
            <a:ext uri="{FF2B5EF4-FFF2-40B4-BE49-F238E27FC236}">
              <a16:creationId xmlns:a16="http://schemas.microsoft.com/office/drawing/2014/main" id="{6638FAE7-BBFC-45AC-9E8F-B967A30F5A09}"/>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46</xdr:row>
      <xdr:rowOff>50131</xdr:rowOff>
    </xdr:from>
    <xdr:to>
      <xdr:col>1</xdr:col>
      <xdr:colOff>2971800</xdr:colOff>
      <xdr:row>47</xdr:row>
      <xdr:rowOff>66674</xdr:rowOff>
    </xdr:to>
    <xdr:sp macro="" textlink="">
      <xdr:nvSpPr>
        <xdr:cNvPr id="85" name="Text Box 14">
          <a:extLst>
            <a:ext uri="{FF2B5EF4-FFF2-40B4-BE49-F238E27FC236}">
              <a16:creationId xmlns:a16="http://schemas.microsoft.com/office/drawing/2014/main" id="{CC9DF12F-C2BA-4914-B42F-4CD4DF9608A5}"/>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46</xdr:row>
      <xdr:rowOff>57150</xdr:rowOff>
    </xdr:from>
    <xdr:to>
      <xdr:col>1</xdr:col>
      <xdr:colOff>361950</xdr:colOff>
      <xdr:row>47</xdr:row>
      <xdr:rowOff>57150</xdr:rowOff>
    </xdr:to>
    <xdr:sp macro="" textlink="">
      <xdr:nvSpPr>
        <xdr:cNvPr id="86" name="Text Box 16">
          <a:extLst>
            <a:ext uri="{FF2B5EF4-FFF2-40B4-BE49-F238E27FC236}">
              <a16:creationId xmlns:a16="http://schemas.microsoft.com/office/drawing/2014/main" id="{7BA3A81F-BC1E-4A71-8F3E-037FD5E79E2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47</xdr:row>
      <xdr:rowOff>133350</xdr:rowOff>
    </xdr:from>
    <xdr:to>
      <xdr:col>1</xdr:col>
      <xdr:colOff>523875</xdr:colOff>
      <xdr:row>47</xdr:row>
      <xdr:rowOff>276225</xdr:rowOff>
    </xdr:to>
    <xdr:sp macro="" textlink="">
      <xdr:nvSpPr>
        <xdr:cNvPr id="87" name="Text Box 17">
          <a:extLst>
            <a:ext uri="{FF2B5EF4-FFF2-40B4-BE49-F238E27FC236}">
              <a16:creationId xmlns:a16="http://schemas.microsoft.com/office/drawing/2014/main" id="{1F58C831-099E-4C3D-B71D-427FFEB11115}"/>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47</xdr:row>
      <xdr:rowOff>133850</xdr:rowOff>
    </xdr:from>
    <xdr:to>
      <xdr:col>1</xdr:col>
      <xdr:colOff>2514600</xdr:colOff>
      <xdr:row>48</xdr:row>
      <xdr:rowOff>30079</xdr:rowOff>
    </xdr:to>
    <xdr:sp macro="" textlink="">
      <xdr:nvSpPr>
        <xdr:cNvPr id="88" name="Text Box 18">
          <a:extLst>
            <a:ext uri="{FF2B5EF4-FFF2-40B4-BE49-F238E27FC236}">
              <a16:creationId xmlns:a16="http://schemas.microsoft.com/office/drawing/2014/main" id="{A710F35D-7C87-45E6-AB51-0C63DFBBF476}"/>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537411</xdr:colOff>
      <xdr:row>48</xdr:row>
      <xdr:rowOff>77203</xdr:rowOff>
    </xdr:from>
    <xdr:to>
      <xdr:col>1</xdr:col>
      <xdr:colOff>1975686</xdr:colOff>
      <xdr:row>49</xdr:row>
      <xdr:rowOff>134353</xdr:rowOff>
    </xdr:to>
    <xdr:sp macro="" textlink="">
      <xdr:nvSpPr>
        <xdr:cNvPr id="10" name="Text Box 32">
          <a:extLst>
            <a:ext uri="{FF2B5EF4-FFF2-40B4-BE49-F238E27FC236}">
              <a16:creationId xmlns:a16="http://schemas.microsoft.com/office/drawing/2014/main" id="{9B3007DC-BF18-4CED-9050-05E67C88CC3B}"/>
            </a:ext>
            <a:ext uri="{147F2762-F138-4A5C-976F-8EAC2B608ADB}">
              <a16:predDERef xmlns:a16="http://schemas.microsoft.com/office/drawing/2014/main" pred="{A710F35D-7C87-45E6-AB51-0C63DFBBF476}"/>
            </a:ext>
          </a:extLst>
        </xdr:cNvPr>
        <xdr:cNvSpPr txBox="1">
          <a:spLocks noChangeArrowheads="1"/>
        </xdr:cNvSpPr>
      </xdr:nvSpPr>
      <xdr:spPr bwMode="auto">
        <a:xfrm>
          <a:off x="785061" y="4877803"/>
          <a:ext cx="143827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48</xdr:row>
      <xdr:rowOff>107282</xdr:rowOff>
    </xdr:from>
    <xdr:to>
      <xdr:col>1</xdr:col>
      <xdr:colOff>429628</xdr:colOff>
      <xdr:row>49</xdr:row>
      <xdr:rowOff>126332</xdr:rowOff>
    </xdr:to>
    <xdr:sp macro="" textlink="">
      <xdr:nvSpPr>
        <xdr:cNvPr id="90" name="Text Box 34">
          <a:extLst>
            <a:ext uri="{FF2B5EF4-FFF2-40B4-BE49-F238E27FC236}">
              <a16:creationId xmlns:a16="http://schemas.microsoft.com/office/drawing/2014/main" id="{98000A0D-F71E-4099-99FF-A8E51D2A5C5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47</xdr:row>
      <xdr:rowOff>250658</xdr:rowOff>
    </xdr:from>
    <xdr:to>
      <xdr:col>3</xdr:col>
      <xdr:colOff>280736</xdr:colOff>
      <xdr:row>47</xdr:row>
      <xdr:rowOff>250658</xdr:rowOff>
    </xdr:to>
    <xdr:cxnSp macro="">
      <xdr:nvCxnSpPr>
        <xdr:cNvPr id="91" name="Conector de seta reta 9">
          <a:extLst>
            <a:ext uri="{FF2B5EF4-FFF2-40B4-BE49-F238E27FC236}">
              <a16:creationId xmlns:a16="http://schemas.microsoft.com/office/drawing/2014/main" id="{DCEB8E06-A92A-4E58-A4A0-68DCCFC9FFEB}"/>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1" Type="http://schemas.openxmlformats.org/officeDocument/2006/relationships/hyperlink" Target="https://www.gov.br/governodigital/pt-br/contratacoes/nota-metodologica.pdf" TargetMode="External"/></Relationships>
</file>

<file path=xl/worksheets/_rels/sheet15.xml.rels><?xml version="1.0" encoding="UTF-8" standalone="yes"?>
<Relationships xmlns="http://schemas.openxmlformats.org/package/2006/relationships"><Relationship Id="rId1" Type="http://schemas.openxmlformats.org/officeDocument/2006/relationships/hyperlink" Target="http://www.licitacaoecontrato.com.br/lecComenta/o-desencontro-entre-norma-e-pratica-o-caso-da-in-07-2018-e-as-ferias-11022022.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21"/>
  <sheetViews>
    <sheetView workbookViewId="0">
      <selection activeCell="F21" sqref="F21"/>
    </sheetView>
  </sheetViews>
  <sheetFormatPr defaultRowHeight="12.5" x14ac:dyDescent="0.25"/>
  <cols>
    <col min="4" max="4" width="9.54296875" customWidth="1"/>
    <col min="5" max="5" width="10.54296875" customWidth="1"/>
  </cols>
  <sheetData>
    <row r="1" spans="1:8" ht="13" thickBot="1" x14ac:dyDescent="0.3"/>
    <row r="2" spans="1:8" ht="13.5" thickBot="1" x14ac:dyDescent="0.3">
      <c r="A2" s="456" t="s">
        <v>0</v>
      </c>
      <c r="B2" s="457"/>
      <c r="C2" s="458"/>
      <c r="F2" s="456" t="s">
        <v>1</v>
      </c>
      <c r="G2" s="457"/>
      <c r="H2" s="458"/>
    </row>
    <row r="4" spans="1:8" ht="13" x14ac:dyDescent="0.3">
      <c r="A4" s="10" t="s">
        <v>2</v>
      </c>
      <c r="F4" s="10" t="s">
        <v>2</v>
      </c>
    </row>
    <row r="5" spans="1:8" x14ac:dyDescent="0.25">
      <c r="A5" t="s">
        <v>3</v>
      </c>
      <c r="C5" s="7">
        <f>'Limpeza - Item 1'!I45</f>
        <v>1743.69</v>
      </c>
      <c r="F5" t="s">
        <v>3</v>
      </c>
      <c r="H5" s="7">
        <f>'Limpeza - Item 1'!I45</f>
        <v>1743.69</v>
      </c>
    </row>
    <row r="6" spans="1:8" x14ac:dyDescent="0.25">
      <c r="A6" t="s">
        <v>4</v>
      </c>
      <c r="C6" s="7">
        <f>'Limpeza - Item 1'!I54</f>
        <v>356.29399000000001</v>
      </c>
      <c r="F6" t="s">
        <v>4</v>
      </c>
      <c r="H6" s="7">
        <f>'Limpeza - Item 1'!I54</f>
        <v>356.29399000000001</v>
      </c>
    </row>
    <row r="7" spans="1:8" ht="13" x14ac:dyDescent="0.3">
      <c r="A7" s="10" t="s">
        <v>5</v>
      </c>
      <c r="C7" s="4">
        <f>SUM(C5:C6)</f>
        <v>2099.9839900000002</v>
      </c>
      <c r="F7" s="10" t="s">
        <v>5</v>
      </c>
      <c r="H7" s="4">
        <f>SUM(H5:H6)</f>
        <v>2099.9839900000002</v>
      </c>
    </row>
    <row r="9" spans="1:8" ht="13" x14ac:dyDescent="0.3">
      <c r="A9" s="10" t="s">
        <v>6</v>
      </c>
      <c r="C9" s="63">
        <f>(SUM('Limpeza - Item 1'!H67:H73))</f>
        <v>0.28800000000000003</v>
      </c>
      <c r="F9" s="10" t="s">
        <v>6</v>
      </c>
      <c r="H9" s="63">
        <f>'Limpeza - Item 1'!H74</f>
        <v>0.08</v>
      </c>
    </row>
    <row r="10" spans="1:8" ht="13" thickBot="1" x14ac:dyDescent="0.3"/>
    <row r="11" spans="1:8" ht="13.5" thickBot="1" x14ac:dyDescent="0.35">
      <c r="A11" s="64" t="s">
        <v>7</v>
      </c>
      <c r="B11" s="65"/>
      <c r="C11" s="66">
        <f>C7*C9</f>
        <v>604.7953891200001</v>
      </c>
      <c r="F11" s="64" t="s">
        <v>8</v>
      </c>
      <c r="G11" s="65"/>
      <c r="H11" s="66">
        <f>H7*H9</f>
        <v>167.99871920000001</v>
      </c>
    </row>
    <row r="13" spans="1:8" ht="13" thickBot="1" x14ac:dyDescent="0.3"/>
    <row r="14" spans="1:8" ht="13.5" thickBot="1" x14ac:dyDescent="0.3">
      <c r="C14" s="453" t="s">
        <v>9</v>
      </c>
      <c r="D14" s="454"/>
      <c r="E14" s="454"/>
      <c r="F14" s="455"/>
    </row>
    <row r="16" spans="1:8" x14ac:dyDescent="0.25">
      <c r="C16" t="str">
        <f>A11</f>
        <v>Valor GPS</v>
      </c>
      <c r="F16" s="7">
        <f>C11</f>
        <v>604.7953891200001</v>
      </c>
    </row>
    <row r="17" spans="3:8" x14ac:dyDescent="0.25">
      <c r="C17" t="str">
        <f>F11</f>
        <v>Valor FGTS</v>
      </c>
      <c r="F17" s="7">
        <f>H11</f>
        <v>167.99871920000001</v>
      </c>
    </row>
    <row r="19" spans="3:8" ht="13" x14ac:dyDescent="0.3">
      <c r="C19" s="10" t="s">
        <v>10</v>
      </c>
      <c r="F19" s="105">
        <f>C9+H9</f>
        <v>0.36800000000000005</v>
      </c>
      <c r="G19" s="10"/>
      <c r="H19" s="88"/>
    </row>
    <row r="20" spans="3:8" ht="13" thickBot="1" x14ac:dyDescent="0.3"/>
    <row r="21" spans="3:8" ht="13.5" thickBot="1" x14ac:dyDescent="0.35">
      <c r="C21" s="76" t="s">
        <v>11</v>
      </c>
      <c r="D21" s="89"/>
      <c r="E21" s="89"/>
      <c r="F21" s="90">
        <f>SUM(F16:F18)</f>
        <v>772.79410832000008</v>
      </c>
    </row>
  </sheetData>
  <mergeCells count="3">
    <mergeCell ref="C14:F14"/>
    <mergeCell ref="A2:C2"/>
    <mergeCell ref="F2:H2"/>
  </mergeCells>
  <pageMargins left="0.511811024" right="0.511811024" top="0.78740157499999996" bottom="0.78740157499999996" header="0.31496062000000002" footer="0.3149606200000000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A1:N70"/>
  <sheetViews>
    <sheetView topLeftCell="A10" zoomScale="85" zoomScaleNormal="85" workbookViewId="0">
      <selection activeCell="B25" sqref="B25"/>
    </sheetView>
  </sheetViews>
  <sheetFormatPr defaultRowHeight="12.5" x14ac:dyDescent="0.25"/>
  <cols>
    <col min="1" max="1" width="3.7265625" style="200" bestFit="1" customWidth="1"/>
    <col min="2" max="2" width="47.7265625" customWidth="1"/>
    <col min="3" max="3" width="6.7265625" customWidth="1"/>
    <col min="4" max="4" width="5.54296875" customWidth="1"/>
    <col min="5" max="6" width="10.26953125" bestFit="1" customWidth="1"/>
    <col min="7" max="7" width="11.7265625" bestFit="1" customWidth="1"/>
    <col min="8" max="8" width="9" customWidth="1"/>
    <col min="9" max="9" width="9.1796875" customWidth="1"/>
    <col min="10" max="10" width="9.26953125" customWidth="1"/>
    <col min="11" max="11" width="17.1796875" bestFit="1" customWidth="1"/>
    <col min="12" max="12" width="17.54296875" bestFit="1" customWidth="1"/>
    <col min="257" max="257" width="3.7265625" bestFit="1" customWidth="1"/>
    <col min="258" max="258" width="52.81640625" customWidth="1"/>
    <col min="259" max="259" width="6.7265625" customWidth="1"/>
    <col min="260" max="260" width="5.54296875" customWidth="1"/>
    <col min="261" max="261" width="9.1796875" customWidth="1"/>
    <col min="262" max="262" width="8.81640625" customWidth="1"/>
    <col min="263" max="263" width="8.7265625" customWidth="1"/>
    <col min="264" max="264" width="9" customWidth="1"/>
    <col min="265" max="265" width="9.1796875" customWidth="1"/>
    <col min="266" max="266" width="9.26953125" customWidth="1"/>
    <col min="267" max="267" width="10" customWidth="1"/>
    <col min="268" max="268" width="11" customWidth="1"/>
    <col min="513" max="513" width="3.7265625" bestFit="1" customWidth="1"/>
    <col min="514" max="514" width="52.81640625" customWidth="1"/>
    <col min="515" max="515" width="6.7265625" customWidth="1"/>
    <col min="516" max="516" width="5.54296875" customWidth="1"/>
    <col min="517" max="517" width="9.1796875" customWidth="1"/>
    <col min="518" max="518" width="8.81640625" customWidth="1"/>
    <col min="519" max="519" width="8.7265625" customWidth="1"/>
    <col min="520" max="520" width="9" customWidth="1"/>
    <col min="521" max="521" width="9.1796875" customWidth="1"/>
    <col min="522" max="522" width="9.26953125" customWidth="1"/>
    <col min="523" max="523" width="10" customWidth="1"/>
    <col min="524" max="524" width="11" customWidth="1"/>
    <col min="769" max="769" width="3.7265625" bestFit="1" customWidth="1"/>
    <col min="770" max="770" width="52.81640625" customWidth="1"/>
    <col min="771" max="771" width="6.7265625" customWidth="1"/>
    <col min="772" max="772" width="5.54296875" customWidth="1"/>
    <col min="773" max="773" width="9.1796875" customWidth="1"/>
    <col min="774" max="774" width="8.81640625" customWidth="1"/>
    <col min="775" max="775" width="8.7265625" customWidth="1"/>
    <col min="776" max="776" width="9" customWidth="1"/>
    <col min="777" max="777" width="9.1796875" customWidth="1"/>
    <col min="778" max="778" width="9.26953125" customWidth="1"/>
    <col min="779" max="779" width="10" customWidth="1"/>
    <col min="780" max="780" width="11" customWidth="1"/>
    <col min="1025" max="1025" width="3.7265625" bestFit="1" customWidth="1"/>
    <col min="1026" max="1026" width="52.81640625" customWidth="1"/>
    <col min="1027" max="1027" width="6.7265625" customWidth="1"/>
    <col min="1028" max="1028" width="5.54296875" customWidth="1"/>
    <col min="1029" max="1029" width="9.1796875" customWidth="1"/>
    <col min="1030" max="1030" width="8.81640625" customWidth="1"/>
    <col min="1031" max="1031" width="8.7265625" customWidth="1"/>
    <col min="1032" max="1032" width="9" customWidth="1"/>
    <col min="1033" max="1033" width="9.1796875" customWidth="1"/>
    <col min="1034" max="1034" width="9.26953125" customWidth="1"/>
    <col min="1035" max="1035" width="10" customWidth="1"/>
    <col min="1036" max="1036" width="11" customWidth="1"/>
    <col min="1281" max="1281" width="3.7265625" bestFit="1" customWidth="1"/>
    <col min="1282" max="1282" width="52.81640625" customWidth="1"/>
    <col min="1283" max="1283" width="6.7265625" customWidth="1"/>
    <col min="1284" max="1284" width="5.54296875" customWidth="1"/>
    <col min="1285" max="1285" width="9.1796875" customWidth="1"/>
    <col min="1286" max="1286" width="8.81640625" customWidth="1"/>
    <col min="1287" max="1287" width="8.7265625" customWidth="1"/>
    <col min="1288" max="1288" width="9" customWidth="1"/>
    <col min="1289" max="1289" width="9.1796875" customWidth="1"/>
    <col min="1290" max="1290" width="9.26953125" customWidth="1"/>
    <col min="1291" max="1291" width="10" customWidth="1"/>
    <col min="1292" max="1292" width="11" customWidth="1"/>
    <col min="1537" max="1537" width="3.7265625" bestFit="1" customWidth="1"/>
    <col min="1538" max="1538" width="52.81640625" customWidth="1"/>
    <col min="1539" max="1539" width="6.7265625" customWidth="1"/>
    <col min="1540" max="1540" width="5.54296875" customWidth="1"/>
    <col min="1541" max="1541" width="9.1796875" customWidth="1"/>
    <col min="1542" max="1542" width="8.81640625" customWidth="1"/>
    <col min="1543" max="1543" width="8.7265625" customWidth="1"/>
    <col min="1544" max="1544" width="9" customWidth="1"/>
    <col min="1545" max="1545" width="9.1796875" customWidth="1"/>
    <col min="1546" max="1546" width="9.26953125" customWidth="1"/>
    <col min="1547" max="1547" width="10" customWidth="1"/>
    <col min="1548" max="1548" width="11" customWidth="1"/>
    <col min="1793" max="1793" width="3.7265625" bestFit="1" customWidth="1"/>
    <col min="1794" max="1794" width="52.81640625" customWidth="1"/>
    <col min="1795" max="1795" width="6.7265625" customWidth="1"/>
    <col min="1796" max="1796" width="5.54296875" customWidth="1"/>
    <col min="1797" max="1797" width="9.1796875" customWidth="1"/>
    <col min="1798" max="1798" width="8.81640625" customWidth="1"/>
    <col min="1799" max="1799" width="8.7265625" customWidth="1"/>
    <col min="1800" max="1800" width="9" customWidth="1"/>
    <col min="1801" max="1801" width="9.1796875" customWidth="1"/>
    <col min="1802" max="1802" width="9.26953125" customWidth="1"/>
    <col min="1803" max="1803" width="10" customWidth="1"/>
    <col min="1804" max="1804" width="11" customWidth="1"/>
    <col min="2049" max="2049" width="3.7265625" bestFit="1" customWidth="1"/>
    <col min="2050" max="2050" width="52.81640625" customWidth="1"/>
    <col min="2051" max="2051" width="6.7265625" customWidth="1"/>
    <col min="2052" max="2052" width="5.54296875" customWidth="1"/>
    <col min="2053" max="2053" width="9.1796875" customWidth="1"/>
    <col min="2054" max="2054" width="8.81640625" customWidth="1"/>
    <col min="2055" max="2055" width="8.7265625" customWidth="1"/>
    <col min="2056" max="2056" width="9" customWidth="1"/>
    <col min="2057" max="2057" width="9.1796875" customWidth="1"/>
    <col min="2058" max="2058" width="9.26953125" customWidth="1"/>
    <col min="2059" max="2059" width="10" customWidth="1"/>
    <col min="2060" max="2060" width="11" customWidth="1"/>
    <col min="2305" max="2305" width="3.7265625" bestFit="1" customWidth="1"/>
    <col min="2306" max="2306" width="52.81640625" customWidth="1"/>
    <col min="2307" max="2307" width="6.7265625" customWidth="1"/>
    <col min="2308" max="2308" width="5.54296875" customWidth="1"/>
    <col min="2309" max="2309" width="9.1796875" customWidth="1"/>
    <col min="2310" max="2310" width="8.81640625" customWidth="1"/>
    <col min="2311" max="2311" width="8.7265625" customWidth="1"/>
    <col min="2312" max="2312" width="9" customWidth="1"/>
    <col min="2313" max="2313" width="9.1796875" customWidth="1"/>
    <col min="2314" max="2314" width="9.26953125" customWidth="1"/>
    <col min="2315" max="2315" width="10" customWidth="1"/>
    <col min="2316" max="2316" width="11" customWidth="1"/>
    <col min="2561" max="2561" width="3.7265625" bestFit="1" customWidth="1"/>
    <col min="2562" max="2562" width="52.81640625" customWidth="1"/>
    <col min="2563" max="2563" width="6.7265625" customWidth="1"/>
    <col min="2564" max="2564" width="5.54296875" customWidth="1"/>
    <col min="2565" max="2565" width="9.1796875" customWidth="1"/>
    <col min="2566" max="2566" width="8.81640625" customWidth="1"/>
    <col min="2567" max="2567" width="8.7265625" customWidth="1"/>
    <col min="2568" max="2568" width="9" customWidth="1"/>
    <col min="2569" max="2569" width="9.1796875" customWidth="1"/>
    <col min="2570" max="2570" width="9.26953125" customWidth="1"/>
    <col min="2571" max="2571" width="10" customWidth="1"/>
    <col min="2572" max="2572" width="11" customWidth="1"/>
    <col min="2817" max="2817" width="3.7265625" bestFit="1" customWidth="1"/>
    <col min="2818" max="2818" width="52.81640625" customWidth="1"/>
    <col min="2819" max="2819" width="6.7265625" customWidth="1"/>
    <col min="2820" max="2820" width="5.54296875" customWidth="1"/>
    <col min="2821" max="2821" width="9.1796875" customWidth="1"/>
    <col min="2822" max="2822" width="8.81640625" customWidth="1"/>
    <col min="2823" max="2823" width="8.7265625" customWidth="1"/>
    <col min="2824" max="2824" width="9" customWidth="1"/>
    <col min="2825" max="2825" width="9.1796875" customWidth="1"/>
    <col min="2826" max="2826" width="9.26953125" customWidth="1"/>
    <col min="2827" max="2827" width="10" customWidth="1"/>
    <col min="2828" max="2828" width="11" customWidth="1"/>
    <col min="3073" max="3073" width="3.7265625" bestFit="1" customWidth="1"/>
    <col min="3074" max="3074" width="52.81640625" customWidth="1"/>
    <col min="3075" max="3075" width="6.7265625" customWidth="1"/>
    <col min="3076" max="3076" width="5.54296875" customWidth="1"/>
    <col min="3077" max="3077" width="9.1796875" customWidth="1"/>
    <col min="3078" max="3078" width="8.81640625" customWidth="1"/>
    <col min="3079" max="3079" width="8.7265625" customWidth="1"/>
    <col min="3080" max="3080" width="9" customWidth="1"/>
    <col min="3081" max="3081" width="9.1796875" customWidth="1"/>
    <col min="3082" max="3082" width="9.26953125" customWidth="1"/>
    <col min="3083" max="3083" width="10" customWidth="1"/>
    <col min="3084" max="3084" width="11" customWidth="1"/>
    <col min="3329" max="3329" width="3.7265625" bestFit="1" customWidth="1"/>
    <col min="3330" max="3330" width="52.81640625" customWidth="1"/>
    <col min="3331" max="3331" width="6.7265625" customWidth="1"/>
    <col min="3332" max="3332" width="5.54296875" customWidth="1"/>
    <col min="3333" max="3333" width="9.1796875" customWidth="1"/>
    <col min="3334" max="3334" width="8.81640625" customWidth="1"/>
    <col min="3335" max="3335" width="8.7265625" customWidth="1"/>
    <col min="3336" max="3336" width="9" customWidth="1"/>
    <col min="3337" max="3337" width="9.1796875" customWidth="1"/>
    <col min="3338" max="3338" width="9.26953125" customWidth="1"/>
    <col min="3339" max="3339" width="10" customWidth="1"/>
    <col min="3340" max="3340" width="11" customWidth="1"/>
    <col min="3585" max="3585" width="3.7265625" bestFit="1" customWidth="1"/>
    <col min="3586" max="3586" width="52.81640625" customWidth="1"/>
    <col min="3587" max="3587" width="6.7265625" customWidth="1"/>
    <col min="3588" max="3588" width="5.54296875" customWidth="1"/>
    <col min="3589" max="3589" width="9.1796875" customWidth="1"/>
    <col min="3590" max="3590" width="8.81640625" customWidth="1"/>
    <col min="3591" max="3591" width="8.7265625" customWidth="1"/>
    <col min="3592" max="3592" width="9" customWidth="1"/>
    <col min="3593" max="3593" width="9.1796875" customWidth="1"/>
    <col min="3594" max="3594" width="9.26953125" customWidth="1"/>
    <col min="3595" max="3595" width="10" customWidth="1"/>
    <col min="3596" max="3596" width="11" customWidth="1"/>
    <col min="3841" max="3841" width="3.7265625" bestFit="1" customWidth="1"/>
    <col min="3842" max="3842" width="52.81640625" customWidth="1"/>
    <col min="3843" max="3843" width="6.7265625" customWidth="1"/>
    <col min="3844" max="3844" width="5.54296875" customWidth="1"/>
    <col min="3845" max="3845" width="9.1796875" customWidth="1"/>
    <col min="3846" max="3846" width="8.81640625" customWidth="1"/>
    <col min="3847" max="3847" width="8.7265625" customWidth="1"/>
    <col min="3848" max="3848" width="9" customWidth="1"/>
    <col min="3849" max="3849" width="9.1796875" customWidth="1"/>
    <col min="3850" max="3850" width="9.26953125" customWidth="1"/>
    <col min="3851" max="3851" width="10" customWidth="1"/>
    <col min="3852" max="3852" width="11" customWidth="1"/>
    <col min="4097" max="4097" width="3.7265625" bestFit="1" customWidth="1"/>
    <col min="4098" max="4098" width="52.81640625" customWidth="1"/>
    <col min="4099" max="4099" width="6.7265625" customWidth="1"/>
    <col min="4100" max="4100" width="5.54296875" customWidth="1"/>
    <col min="4101" max="4101" width="9.1796875" customWidth="1"/>
    <col min="4102" max="4102" width="8.81640625" customWidth="1"/>
    <col min="4103" max="4103" width="8.7265625" customWidth="1"/>
    <col min="4104" max="4104" width="9" customWidth="1"/>
    <col min="4105" max="4105" width="9.1796875" customWidth="1"/>
    <col min="4106" max="4106" width="9.26953125" customWidth="1"/>
    <col min="4107" max="4107" width="10" customWidth="1"/>
    <col min="4108" max="4108" width="11" customWidth="1"/>
    <col min="4353" max="4353" width="3.7265625" bestFit="1" customWidth="1"/>
    <col min="4354" max="4354" width="52.81640625" customWidth="1"/>
    <col min="4355" max="4355" width="6.7265625" customWidth="1"/>
    <col min="4356" max="4356" width="5.54296875" customWidth="1"/>
    <col min="4357" max="4357" width="9.1796875" customWidth="1"/>
    <col min="4358" max="4358" width="8.81640625" customWidth="1"/>
    <col min="4359" max="4359" width="8.7265625" customWidth="1"/>
    <col min="4360" max="4360" width="9" customWidth="1"/>
    <col min="4361" max="4361" width="9.1796875" customWidth="1"/>
    <col min="4362" max="4362" width="9.26953125" customWidth="1"/>
    <col min="4363" max="4363" width="10" customWidth="1"/>
    <col min="4364" max="4364" width="11" customWidth="1"/>
    <col min="4609" max="4609" width="3.7265625" bestFit="1" customWidth="1"/>
    <col min="4610" max="4610" width="52.81640625" customWidth="1"/>
    <col min="4611" max="4611" width="6.7265625" customWidth="1"/>
    <col min="4612" max="4612" width="5.54296875" customWidth="1"/>
    <col min="4613" max="4613" width="9.1796875" customWidth="1"/>
    <col min="4614" max="4614" width="8.81640625" customWidth="1"/>
    <col min="4615" max="4615" width="8.7265625" customWidth="1"/>
    <col min="4616" max="4616" width="9" customWidth="1"/>
    <col min="4617" max="4617" width="9.1796875" customWidth="1"/>
    <col min="4618" max="4618" width="9.26953125" customWidth="1"/>
    <col min="4619" max="4619" width="10" customWidth="1"/>
    <col min="4620" max="4620" width="11" customWidth="1"/>
    <col min="4865" max="4865" width="3.7265625" bestFit="1" customWidth="1"/>
    <col min="4866" max="4866" width="52.81640625" customWidth="1"/>
    <col min="4867" max="4867" width="6.7265625" customWidth="1"/>
    <col min="4868" max="4868" width="5.54296875" customWidth="1"/>
    <col min="4869" max="4869" width="9.1796875" customWidth="1"/>
    <col min="4870" max="4870" width="8.81640625" customWidth="1"/>
    <col min="4871" max="4871" width="8.7265625" customWidth="1"/>
    <col min="4872" max="4872" width="9" customWidth="1"/>
    <col min="4873" max="4873" width="9.1796875" customWidth="1"/>
    <col min="4874" max="4874" width="9.26953125" customWidth="1"/>
    <col min="4875" max="4875" width="10" customWidth="1"/>
    <col min="4876" max="4876" width="11" customWidth="1"/>
    <col min="5121" max="5121" width="3.7265625" bestFit="1" customWidth="1"/>
    <col min="5122" max="5122" width="52.81640625" customWidth="1"/>
    <col min="5123" max="5123" width="6.7265625" customWidth="1"/>
    <col min="5124" max="5124" width="5.54296875" customWidth="1"/>
    <col min="5125" max="5125" width="9.1796875" customWidth="1"/>
    <col min="5126" max="5126" width="8.81640625" customWidth="1"/>
    <col min="5127" max="5127" width="8.7265625" customWidth="1"/>
    <col min="5128" max="5128" width="9" customWidth="1"/>
    <col min="5129" max="5129" width="9.1796875" customWidth="1"/>
    <col min="5130" max="5130" width="9.26953125" customWidth="1"/>
    <col min="5131" max="5131" width="10" customWidth="1"/>
    <col min="5132" max="5132" width="11" customWidth="1"/>
    <col min="5377" max="5377" width="3.7265625" bestFit="1" customWidth="1"/>
    <col min="5378" max="5378" width="52.81640625" customWidth="1"/>
    <col min="5379" max="5379" width="6.7265625" customWidth="1"/>
    <col min="5380" max="5380" width="5.54296875" customWidth="1"/>
    <col min="5381" max="5381" width="9.1796875" customWidth="1"/>
    <col min="5382" max="5382" width="8.81640625" customWidth="1"/>
    <col min="5383" max="5383" width="8.7265625" customWidth="1"/>
    <col min="5384" max="5384" width="9" customWidth="1"/>
    <col min="5385" max="5385" width="9.1796875" customWidth="1"/>
    <col min="5386" max="5386" width="9.26953125" customWidth="1"/>
    <col min="5387" max="5387" width="10" customWidth="1"/>
    <col min="5388" max="5388" width="11" customWidth="1"/>
    <col min="5633" max="5633" width="3.7265625" bestFit="1" customWidth="1"/>
    <col min="5634" max="5634" width="52.81640625" customWidth="1"/>
    <col min="5635" max="5635" width="6.7265625" customWidth="1"/>
    <col min="5636" max="5636" width="5.54296875" customWidth="1"/>
    <col min="5637" max="5637" width="9.1796875" customWidth="1"/>
    <col min="5638" max="5638" width="8.81640625" customWidth="1"/>
    <col min="5639" max="5639" width="8.7265625" customWidth="1"/>
    <col min="5640" max="5640" width="9" customWidth="1"/>
    <col min="5641" max="5641" width="9.1796875" customWidth="1"/>
    <col min="5642" max="5642" width="9.26953125" customWidth="1"/>
    <col min="5643" max="5643" width="10" customWidth="1"/>
    <col min="5644" max="5644" width="11" customWidth="1"/>
    <col min="5889" max="5889" width="3.7265625" bestFit="1" customWidth="1"/>
    <col min="5890" max="5890" width="52.81640625" customWidth="1"/>
    <col min="5891" max="5891" width="6.7265625" customWidth="1"/>
    <col min="5892" max="5892" width="5.54296875" customWidth="1"/>
    <col min="5893" max="5893" width="9.1796875" customWidth="1"/>
    <col min="5894" max="5894" width="8.81640625" customWidth="1"/>
    <col min="5895" max="5895" width="8.7265625" customWidth="1"/>
    <col min="5896" max="5896" width="9" customWidth="1"/>
    <col min="5897" max="5897" width="9.1796875" customWidth="1"/>
    <col min="5898" max="5898" width="9.26953125" customWidth="1"/>
    <col min="5899" max="5899" width="10" customWidth="1"/>
    <col min="5900" max="5900" width="11" customWidth="1"/>
    <col min="6145" max="6145" width="3.7265625" bestFit="1" customWidth="1"/>
    <col min="6146" max="6146" width="52.81640625" customWidth="1"/>
    <col min="6147" max="6147" width="6.7265625" customWidth="1"/>
    <col min="6148" max="6148" width="5.54296875" customWidth="1"/>
    <col min="6149" max="6149" width="9.1796875" customWidth="1"/>
    <col min="6150" max="6150" width="8.81640625" customWidth="1"/>
    <col min="6151" max="6151" width="8.7265625" customWidth="1"/>
    <col min="6152" max="6152" width="9" customWidth="1"/>
    <col min="6153" max="6153" width="9.1796875" customWidth="1"/>
    <col min="6154" max="6154" width="9.26953125" customWidth="1"/>
    <col min="6155" max="6155" width="10" customWidth="1"/>
    <col min="6156" max="6156" width="11" customWidth="1"/>
    <col min="6401" max="6401" width="3.7265625" bestFit="1" customWidth="1"/>
    <col min="6402" max="6402" width="52.81640625" customWidth="1"/>
    <col min="6403" max="6403" width="6.7265625" customWidth="1"/>
    <col min="6404" max="6404" width="5.54296875" customWidth="1"/>
    <col min="6405" max="6405" width="9.1796875" customWidth="1"/>
    <col min="6406" max="6406" width="8.81640625" customWidth="1"/>
    <col min="6407" max="6407" width="8.7265625" customWidth="1"/>
    <col min="6408" max="6408" width="9" customWidth="1"/>
    <col min="6409" max="6409" width="9.1796875" customWidth="1"/>
    <col min="6410" max="6410" width="9.26953125" customWidth="1"/>
    <col min="6411" max="6411" width="10" customWidth="1"/>
    <col min="6412" max="6412" width="11" customWidth="1"/>
    <col min="6657" max="6657" width="3.7265625" bestFit="1" customWidth="1"/>
    <col min="6658" max="6658" width="52.81640625" customWidth="1"/>
    <col min="6659" max="6659" width="6.7265625" customWidth="1"/>
    <col min="6660" max="6660" width="5.54296875" customWidth="1"/>
    <col min="6661" max="6661" width="9.1796875" customWidth="1"/>
    <col min="6662" max="6662" width="8.81640625" customWidth="1"/>
    <col min="6663" max="6663" width="8.7265625" customWidth="1"/>
    <col min="6664" max="6664" width="9" customWidth="1"/>
    <col min="6665" max="6665" width="9.1796875" customWidth="1"/>
    <col min="6666" max="6666" width="9.26953125" customWidth="1"/>
    <col min="6667" max="6667" width="10" customWidth="1"/>
    <col min="6668" max="6668" width="11" customWidth="1"/>
    <col min="6913" max="6913" width="3.7265625" bestFit="1" customWidth="1"/>
    <col min="6914" max="6914" width="52.81640625" customWidth="1"/>
    <col min="6915" max="6915" width="6.7265625" customWidth="1"/>
    <col min="6916" max="6916" width="5.54296875" customWidth="1"/>
    <col min="6917" max="6917" width="9.1796875" customWidth="1"/>
    <col min="6918" max="6918" width="8.81640625" customWidth="1"/>
    <col min="6919" max="6919" width="8.7265625" customWidth="1"/>
    <col min="6920" max="6920" width="9" customWidth="1"/>
    <col min="6921" max="6921" width="9.1796875" customWidth="1"/>
    <col min="6922" max="6922" width="9.26953125" customWidth="1"/>
    <col min="6923" max="6923" width="10" customWidth="1"/>
    <col min="6924" max="6924" width="11" customWidth="1"/>
    <col min="7169" max="7169" width="3.7265625" bestFit="1" customWidth="1"/>
    <col min="7170" max="7170" width="52.81640625" customWidth="1"/>
    <col min="7171" max="7171" width="6.7265625" customWidth="1"/>
    <col min="7172" max="7172" width="5.54296875" customWidth="1"/>
    <col min="7173" max="7173" width="9.1796875" customWidth="1"/>
    <col min="7174" max="7174" width="8.81640625" customWidth="1"/>
    <col min="7175" max="7175" width="8.7265625" customWidth="1"/>
    <col min="7176" max="7176" width="9" customWidth="1"/>
    <col min="7177" max="7177" width="9.1796875" customWidth="1"/>
    <col min="7178" max="7178" width="9.26953125" customWidth="1"/>
    <col min="7179" max="7179" width="10" customWidth="1"/>
    <col min="7180" max="7180" width="11" customWidth="1"/>
    <col min="7425" max="7425" width="3.7265625" bestFit="1" customWidth="1"/>
    <col min="7426" max="7426" width="52.81640625" customWidth="1"/>
    <col min="7427" max="7427" width="6.7265625" customWidth="1"/>
    <col min="7428" max="7428" width="5.54296875" customWidth="1"/>
    <col min="7429" max="7429" width="9.1796875" customWidth="1"/>
    <col min="7430" max="7430" width="8.81640625" customWidth="1"/>
    <col min="7431" max="7431" width="8.7265625" customWidth="1"/>
    <col min="7432" max="7432" width="9" customWidth="1"/>
    <col min="7433" max="7433" width="9.1796875" customWidth="1"/>
    <col min="7434" max="7434" width="9.26953125" customWidth="1"/>
    <col min="7435" max="7435" width="10" customWidth="1"/>
    <col min="7436" max="7436" width="11" customWidth="1"/>
    <col min="7681" max="7681" width="3.7265625" bestFit="1" customWidth="1"/>
    <col min="7682" max="7682" width="52.81640625" customWidth="1"/>
    <col min="7683" max="7683" width="6.7265625" customWidth="1"/>
    <col min="7684" max="7684" width="5.54296875" customWidth="1"/>
    <col min="7685" max="7685" width="9.1796875" customWidth="1"/>
    <col min="7686" max="7686" width="8.81640625" customWidth="1"/>
    <col min="7687" max="7687" width="8.7265625" customWidth="1"/>
    <col min="7688" max="7688" width="9" customWidth="1"/>
    <col min="7689" max="7689" width="9.1796875" customWidth="1"/>
    <col min="7690" max="7690" width="9.26953125" customWidth="1"/>
    <col min="7691" max="7691" width="10" customWidth="1"/>
    <col min="7692" max="7692" width="11" customWidth="1"/>
    <col min="7937" max="7937" width="3.7265625" bestFit="1" customWidth="1"/>
    <col min="7938" max="7938" width="52.81640625" customWidth="1"/>
    <col min="7939" max="7939" width="6.7265625" customWidth="1"/>
    <col min="7940" max="7940" width="5.54296875" customWidth="1"/>
    <col min="7941" max="7941" width="9.1796875" customWidth="1"/>
    <col min="7942" max="7942" width="8.81640625" customWidth="1"/>
    <col min="7943" max="7943" width="8.7265625" customWidth="1"/>
    <col min="7944" max="7944" width="9" customWidth="1"/>
    <col min="7945" max="7945" width="9.1796875" customWidth="1"/>
    <col min="7946" max="7946" width="9.26953125" customWidth="1"/>
    <col min="7947" max="7947" width="10" customWidth="1"/>
    <col min="7948" max="7948" width="11" customWidth="1"/>
    <col min="8193" max="8193" width="3.7265625" bestFit="1" customWidth="1"/>
    <col min="8194" max="8194" width="52.81640625" customWidth="1"/>
    <col min="8195" max="8195" width="6.7265625" customWidth="1"/>
    <col min="8196" max="8196" width="5.54296875" customWidth="1"/>
    <col min="8197" max="8197" width="9.1796875" customWidth="1"/>
    <col min="8198" max="8198" width="8.81640625" customWidth="1"/>
    <col min="8199" max="8199" width="8.7265625" customWidth="1"/>
    <col min="8200" max="8200" width="9" customWidth="1"/>
    <col min="8201" max="8201" width="9.1796875" customWidth="1"/>
    <col min="8202" max="8202" width="9.26953125" customWidth="1"/>
    <col min="8203" max="8203" width="10" customWidth="1"/>
    <col min="8204" max="8204" width="11" customWidth="1"/>
    <col min="8449" max="8449" width="3.7265625" bestFit="1" customWidth="1"/>
    <col min="8450" max="8450" width="52.81640625" customWidth="1"/>
    <col min="8451" max="8451" width="6.7265625" customWidth="1"/>
    <col min="8452" max="8452" width="5.54296875" customWidth="1"/>
    <col min="8453" max="8453" width="9.1796875" customWidth="1"/>
    <col min="8454" max="8454" width="8.81640625" customWidth="1"/>
    <col min="8455" max="8455" width="8.7265625" customWidth="1"/>
    <col min="8456" max="8456" width="9" customWidth="1"/>
    <col min="8457" max="8457" width="9.1796875" customWidth="1"/>
    <col min="8458" max="8458" width="9.26953125" customWidth="1"/>
    <col min="8459" max="8459" width="10" customWidth="1"/>
    <col min="8460" max="8460" width="11" customWidth="1"/>
    <col min="8705" max="8705" width="3.7265625" bestFit="1" customWidth="1"/>
    <col min="8706" max="8706" width="52.81640625" customWidth="1"/>
    <col min="8707" max="8707" width="6.7265625" customWidth="1"/>
    <col min="8708" max="8708" width="5.54296875" customWidth="1"/>
    <col min="8709" max="8709" width="9.1796875" customWidth="1"/>
    <col min="8710" max="8710" width="8.81640625" customWidth="1"/>
    <col min="8711" max="8711" width="8.7265625" customWidth="1"/>
    <col min="8712" max="8712" width="9" customWidth="1"/>
    <col min="8713" max="8713" width="9.1796875" customWidth="1"/>
    <col min="8714" max="8714" width="9.26953125" customWidth="1"/>
    <col min="8715" max="8715" width="10" customWidth="1"/>
    <col min="8716" max="8716" width="11" customWidth="1"/>
    <col min="8961" max="8961" width="3.7265625" bestFit="1" customWidth="1"/>
    <col min="8962" max="8962" width="52.81640625" customWidth="1"/>
    <col min="8963" max="8963" width="6.7265625" customWidth="1"/>
    <col min="8964" max="8964" width="5.54296875" customWidth="1"/>
    <col min="8965" max="8965" width="9.1796875" customWidth="1"/>
    <col min="8966" max="8966" width="8.81640625" customWidth="1"/>
    <col min="8967" max="8967" width="8.7265625" customWidth="1"/>
    <col min="8968" max="8968" width="9" customWidth="1"/>
    <col min="8969" max="8969" width="9.1796875" customWidth="1"/>
    <col min="8970" max="8970" width="9.26953125" customWidth="1"/>
    <col min="8971" max="8971" width="10" customWidth="1"/>
    <col min="8972" max="8972" width="11" customWidth="1"/>
    <col min="9217" max="9217" width="3.7265625" bestFit="1" customWidth="1"/>
    <col min="9218" max="9218" width="52.81640625" customWidth="1"/>
    <col min="9219" max="9219" width="6.7265625" customWidth="1"/>
    <col min="9220" max="9220" width="5.54296875" customWidth="1"/>
    <col min="9221" max="9221" width="9.1796875" customWidth="1"/>
    <col min="9222" max="9222" width="8.81640625" customWidth="1"/>
    <col min="9223" max="9223" width="8.7265625" customWidth="1"/>
    <col min="9224" max="9224" width="9" customWidth="1"/>
    <col min="9225" max="9225" width="9.1796875" customWidth="1"/>
    <col min="9226" max="9226" width="9.26953125" customWidth="1"/>
    <col min="9227" max="9227" width="10" customWidth="1"/>
    <col min="9228" max="9228" width="11" customWidth="1"/>
    <col min="9473" max="9473" width="3.7265625" bestFit="1" customWidth="1"/>
    <col min="9474" max="9474" width="52.81640625" customWidth="1"/>
    <col min="9475" max="9475" width="6.7265625" customWidth="1"/>
    <col min="9476" max="9476" width="5.54296875" customWidth="1"/>
    <col min="9477" max="9477" width="9.1796875" customWidth="1"/>
    <col min="9478" max="9478" width="8.81640625" customWidth="1"/>
    <col min="9479" max="9479" width="8.7265625" customWidth="1"/>
    <col min="9480" max="9480" width="9" customWidth="1"/>
    <col min="9481" max="9481" width="9.1796875" customWidth="1"/>
    <col min="9482" max="9482" width="9.26953125" customWidth="1"/>
    <col min="9483" max="9483" width="10" customWidth="1"/>
    <col min="9484" max="9484" width="11" customWidth="1"/>
    <col min="9729" max="9729" width="3.7265625" bestFit="1" customWidth="1"/>
    <col min="9730" max="9730" width="52.81640625" customWidth="1"/>
    <col min="9731" max="9731" width="6.7265625" customWidth="1"/>
    <col min="9732" max="9732" width="5.54296875" customWidth="1"/>
    <col min="9733" max="9733" width="9.1796875" customWidth="1"/>
    <col min="9734" max="9734" width="8.81640625" customWidth="1"/>
    <col min="9735" max="9735" width="8.7265625" customWidth="1"/>
    <col min="9736" max="9736" width="9" customWidth="1"/>
    <col min="9737" max="9737" width="9.1796875" customWidth="1"/>
    <col min="9738" max="9738" width="9.26953125" customWidth="1"/>
    <col min="9739" max="9739" width="10" customWidth="1"/>
    <col min="9740" max="9740" width="11" customWidth="1"/>
    <col min="9985" max="9985" width="3.7265625" bestFit="1" customWidth="1"/>
    <col min="9986" max="9986" width="52.81640625" customWidth="1"/>
    <col min="9987" max="9987" width="6.7265625" customWidth="1"/>
    <col min="9988" max="9988" width="5.54296875" customWidth="1"/>
    <col min="9989" max="9989" width="9.1796875" customWidth="1"/>
    <col min="9990" max="9990" width="8.81640625" customWidth="1"/>
    <col min="9991" max="9991" width="8.7265625" customWidth="1"/>
    <col min="9992" max="9992" width="9" customWidth="1"/>
    <col min="9993" max="9993" width="9.1796875" customWidth="1"/>
    <col min="9994" max="9994" width="9.26953125" customWidth="1"/>
    <col min="9995" max="9995" width="10" customWidth="1"/>
    <col min="9996" max="9996" width="11" customWidth="1"/>
    <col min="10241" max="10241" width="3.7265625" bestFit="1" customWidth="1"/>
    <col min="10242" max="10242" width="52.81640625" customWidth="1"/>
    <col min="10243" max="10243" width="6.7265625" customWidth="1"/>
    <col min="10244" max="10244" width="5.54296875" customWidth="1"/>
    <col min="10245" max="10245" width="9.1796875" customWidth="1"/>
    <col min="10246" max="10246" width="8.81640625" customWidth="1"/>
    <col min="10247" max="10247" width="8.7265625" customWidth="1"/>
    <col min="10248" max="10248" width="9" customWidth="1"/>
    <col min="10249" max="10249" width="9.1796875" customWidth="1"/>
    <col min="10250" max="10250" width="9.26953125" customWidth="1"/>
    <col min="10251" max="10251" width="10" customWidth="1"/>
    <col min="10252" max="10252" width="11" customWidth="1"/>
    <col min="10497" max="10497" width="3.7265625" bestFit="1" customWidth="1"/>
    <col min="10498" max="10498" width="52.81640625" customWidth="1"/>
    <col min="10499" max="10499" width="6.7265625" customWidth="1"/>
    <col min="10500" max="10500" width="5.54296875" customWidth="1"/>
    <col min="10501" max="10501" width="9.1796875" customWidth="1"/>
    <col min="10502" max="10502" width="8.81640625" customWidth="1"/>
    <col min="10503" max="10503" width="8.7265625" customWidth="1"/>
    <col min="10504" max="10504" width="9" customWidth="1"/>
    <col min="10505" max="10505" width="9.1796875" customWidth="1"/>
    <col min="10506" max="10506" width="9.26953125" customWidth="1"/>
    <col min="10507" max="10507" width="10" customWidth="1"/>
    <col min="10508" max="10508" width="11" customWidth="1"/>
    <col min="10753" max="10753" width="3.7265625" bestFit="1" customWidth="1"/>
    <col min="10754" max="10754" width="52.81640625" customWidth="1"/>
    <col min="10755" max="10755" width="6.7265625" customWidth="1"/>
    <col min="10756" max="10756" width="5.54296875" customWidth="1"/>
    <col min="10757" max="10757" width="9.1796875" customWidth="1"/>
    <col min="10758" max="10758" width="8.81640625" customWidth="1"/>
    <col min="10759" max="10759" width="8.7265625" customWidth="1"/>
    <col min="10760" max="10760" width="9" customWidth="1"/>
    <col min="10761" max="10761" width="9.1796875" customWidth="1"/>
    <col min="10762" max="10762" width="9.26953125" customWidth="1"/>
    <col min="10763" max="10763" width="10" customWidth="1"/>
    <col min="10764" max="10764" width="11" customWidth="1"/>
    <col min="11009" max="11009" width="3.7265625" bestFit="1" customWidth="1"/>
    <col min="11010" max="11010" width="52.81640625" customWidth="1"/>
    <col min="11011" max="11011" width="6.7265625" customWidth="1"/>
    <col min="11012" max="11012" width="5.54296875" customWidth="1"/>
    <col min="11013" max="11013" width="9.1796875" customWidth="1"/>
    <col min="11014" max="11014" width="8.81640625" customWidth="1"/>
    <col min="11015" max="11015" width="8.7265625" customWidth="1"/>
    <col min="11016" max="11016" width="9" customWidth="1"/>
    <col min="11017" max="11017" width="9.1796875" customWidth="1"/>
    <col min="11018" max="11018" width="9.26953125" customWidth="1"/>
    <col min="11019" max="11019" width="10" customWidth="1"/>
    <col min="11020" max="11020" width="11" customWidth="1"/>
    <col min="11265" max="11265" width="3.7265625" bestFit="1" customWidth="1"/>
    <col min="11266" max="11266" width="52.81640625" customWidth="1"/>
    <col min="11267" max="11267" width="6.7265625" customWidth="1"/>
    <col min="11268" max="11268" width="5.54296875" customWidth="1"/>
    <col min="11269" max="11269" width="9.1796875" customWidth="1"/>
    <col min="11270" max="11270" width="8.81640625" customWidth="1"/>
    <col min="11271" max="11271" width="8.7265625" customWidth="1"/>
    <col min="11272" max="11272" width="9" customWidth="1"/>
    <col min="11273" max="11273" width="9.1796875" customWidth="1"/>
    <col min="11274" max="11274" width="9.26953125" customWidth="1"/>
    <col min="11275" max="11275" width="10" customWidth="1"/>
    <col min="11276" max="11276" width="11" customWidth="1"/>
    <col min="11521" max="11521" width="3.7265625" bestFit="1" customWidth="1"/>
    <col min="11522" max="11522" width="52.81640625" customWidth="1"/>
    <col min="11523" max="11523" width="6.7265625" customWidth="1"/>
    <col min="11524" max="11524" width="5.54296875" customWidth="1"/>
    <col min="11525" max="11525" width="9.1796875" customWidth="1"/>
    <col min="11526" max="11526" width="8.81640625" customWidth="1"/>
    <col min="11527" max="11527" width="8.7265625" customWidth="1"/>
    <col min="11528" max="11528" width="9" customWidth="1"/>
    <col min="11529" max="11529" width="9.1796875" customWidth="1"/>
    <col min="11530" max="11530" width="9.26953125" customWidth="1"/>
    <col min="11531" max="11531" width="10" customWidth="1"/>
    <col min="11532" max="11532" width="11" customWidth="1"/>
    <col min="11777" max="11777" width="3.7265625" bestFit="1" customWidth="1"/>
    <col min="11778" max="11778" width="52.81640625" customWidth="1"/>
    <col min="11779" max="11779" width="6.7265625" customWidth="1"/>
    <col min="11780" max="11780" width="5.54296875" customWidth="1"/>
    <col min="11781" max="11781" width="9.1796875" customWidth="1"/>
    <col min="11782" max="11782" width="8.81640625" customWidth="1"/>
    <col min="11783" max="11783" width="8.7265625" customWidth="1"/>
    <col min="11784" max="11784" width="9" customWidth="1"/>
    <col min="11785" max="11785" width="9.1796875" customWidth="1"/>
    <col min="11786" max="11786" width="9.26953125" customWidth="1"/>
    <col min="11787" max="11787" width="10" customWidth="1"/>
    <col min="11788" max="11788" width="11" customWidth="1"/>
    <col min="12033" max="12033" width="3.7265625" bestFit="1" customWidth="1"/>
    <col min="12034" max="12034" width="52.81640625" customWidth="1"/>
    <col min="12035" max="12035" width="6.7265625" customWidth="1"/>
    <col min="12036" max="12036" width="5.54296875" customWidth="1"/>
    <col min="12037" max="12037" width="9.1796875" customWidth="1"/>
    <col min="12038" max="12038" width="8.81640625" customWidth="1"/>
    <col min="12039" max="12039" width="8.7265625" customWidth="1"/>
    <col min="12040" max="12040" width="9" customWidth="1"/>
    <col min="12041" max="12041" width="9.1796875" customWidth="1"/>
    <col min="12042" max="12042" width="9.26953125" customWidth="1"/>
    <col min="12043" max="12043" width="10" customWidth="1"/>
    <col min="12044" max="12044" width="11" customWidth="1"/>
    <col min="12289" max="12289" width="3.7265625" bestFit="1" customWidth="1"/>
    <col min="12290" max="12290" width="52.81640625" customWidth="1"/>
    <col min="12291" max="12291" width="6.7265625" customWidth="1"/>
    <col min="12292" max="12292" width="5.54296875" customWidth="1"/>
    <col min="12293" max="12293" width="9.1796875" customWidth="1"/>
    <col min="12294" max="12294" width="8.81640625" customWidth="1"/>
    <col min="12295" max="12295" width="8.7265625" customWidth="1"/>
    <col min="12296" max="12296" width="9" customWidth="1"/>
    <col min="12297" max="12297" width="9.1796875" customWidth="1"/>
    <col min="12298" max="12298" width="9.26953125" customWidth="1"/>
    <col min="12299" max="12299" width="10" customWidth="1"/>
    <col min="12300" max="12300" width="11" customWidth="1"/>
    <col min="12545" max="12545" width="3.7265625" bestFit="1" customWidth="1"/>
    <col min="12546" max="12546" width="52.81640625" customWidth="1"/>
    <col min="12547" max="12547" width="6.7265625" customWidth="1"/>
    <col min="12548" max="12548" width="5.54296875" customWidth="1"/>
    <col min="12549" max="12549" width="9.1796875" customWidth="1"/>
    <col min="12550" max="12550" width="8.81640625" customWidth="1"/>
    <col min="12551" max="12551" width="8.7265625" customWidth="1"/>
    <col min="12552" max="12552" width="9" customWidth="1"/>
    <col min="12553" max="12553" width="9.1796875" customWidth="1"/>
    <col min="12554" max="12554" width="9.26953125" customWidth="1"/>
    <col min="12555" max="12555" width="10" customWidth="1"/>
    <col min="12556" max="12556" width="11" customWidth="1"/>
    <col min="12801" max="12801" width="3.7265625" bestFit="1" customWidth="1"/>
    <col min="12802" max="12802" width="52.81640625" customWidth="1"/>
    <col min="12803" max="12803" width="6.7265625" customWidth="1"/>
    <col min="12804" max="12804" width="5.54296875" customWidth="1"/>
    <col min="12805" max="12805" width="9.1796875" customWidth="1"/>
    <col min="12806" max="12806" width="8.81640625" customWidth="1"/>
    <col min="12807" max="12807" width="8.7265625" customWidth="1"/>
    <col min="12808" max="12808" width="9" customWidth="1"/>
    <col min="12809" max="12809" width="9.1796875" customWidth="1"/>
    <col min="12810" max="12810" width="9.26953125" customWidth="1"/>
    <col min="12811" max="12811" width="10" customWidth="1"/>
    <col min="12812" max="12812" width="11" customWidth="1"/>
    <col min="13057" max="13057" width="3.7265625" bestFit="1" customWidth="1"/>
    <col min="13058" max="13058" width="52.81640625" customWidth="1"/>
    <col min="13059" max="13059" width="6.7265625" customWidth="1"/>
    <col min="13060" max="13060" width="5.54296875" customWidth="1"/>
    <col min="13061" max="13061" width="9.1796875" customWidth="1"/>
    <col min="13062" max="13062" width="8.81640625" customWidth="1"/>
    <col min="13063" max="13063" width="8.7265625" customWidth="1"/>
    <col min="13064" max="13064" width="9" customWidth="1"/>
    <col min="13065" max="13065" width="9.1796875" customWidth="1"/>
    <col min="13066" max="13066" width="9.26953125" customWidth="1"/>
    <col min="13067" max="13067" width="10" customWidth="1"/>
    <col min="13068" max="13068" width="11" customWidth="1"/>
    <col min="13313" max="13313" width="3.7265625" bestFit="1" customWidth="1"/>
    <col min="13314" max="13314" width="52.81640625" customWidth="1"/>
    <col min="13315" max="13315" width="6.7265625" customWidth="1"/>
    <col min="13316" max="13316" width="5.54296875" customWidth="1"/>
    <col min="13317" max="13317" width="9.1796875" customWidth="1"/>
    <col min="13318" max="13318" width="8.81640625" customWidth="1"/>
    <col min="13319" max="13319" width="8.7265625" customWidth="1"/>
    <col min="13320" max="13320" width="9" customWidth="1"/>
    <col min="13321" max="13321" width="9.1796875" customWidth="1"/>
    <col min="13322" max="13322" width="9.26953125" customWidth="1"/>
    <col min="13323" max="13323" width="10" customWidth="1"/>
    <col min="13324" max="13324" width="11" customWidth="1"/>
    <col min="13569" max="13569" width="3.7265625" bestFit="1" customWidth="1"/>
    <col min="13570" max="13570" width="52.81640625" customWidth="1"/>
    <col min="13571" max="13571" width="6.7265625" customWidth="1"/>
    <col min="13572" max="13572" width="5.54296875" customWidth="1"/>
    <col min="13573" max="13573" width="9.1796875" customWidth="1"/>
    <col min="13574" max="13574" width="8.81640625" customWidth="1"/>
    <col min="13575" max="13575" width="8.7265625" customWidth="1"/>
    <col min="13576" max="13576" width="9" customWidth="1"/>
    <col min="13577" max="13577" width="9.1796875" customWidth="1"/>
    <col min="13578" max="13578" width="9.26953125" customWidth="1"/>
    <col min="13579" max="13579" width="10" customWidth="1"/>
    <col min="13580" max="13580" width="11" customWidth="1"/>
    <col min="13825" max="13825" width="3.7265625" bestFit="1" customWidth="1"/>
    <col min="13826" max="13826" width="52.81640625" customWidth="1"/>
    <col min="13827" max="13827" width="6.7265625" customWidth="1"/>
    <col min="13828" max="13828" width="5.54296875" customWidth="1"/>
    <col min="13829" max="13829" width="9.1796875" customWidth="1"/>
    <col min="13830" max="13830" width="8.81640625" customWidth="1"/>
    <col min="13831" max="13831" width="8.7265625" customWidth="1"/>
    <col min="13832" max="13832" width="9" customWidth="1"/>
    <col min="13833" max="13833" width="9.1796875" customWidth="1"/>
    <col min="13834" max="13834" width="9.26953125" customWidth="1"/>
    <col min="13835" max="13835" width="10" customWidth="1"/>
    <col min="13836" max="13836" width="11" customWidth="1"/>
    <col min="14081" max="14081" width="3.7265625" bestFit="1" customWidth="1"/>
    <col min="14082" max="14082" width="52.81640625" customWidth="1"/>
    <col min="14083" max="14083" width="6.7265625" customWidth="1"/>
    <col min="14084" max="14084" width="5.54296875" customWidth="1"/>
    <col min="14085" max="14085" width="9.1796875" customWidth="1"/>
    <col min="14086" max="14086" width="8.81640625" customWidth="1"/>
    <col min="14087" max="14087" width="8.7265625" customWidth="1"/>
    <col min="14088" max="14088" width="9" customWidth="1"/>
    <col min="14089" max="14089" width="9.1796875" customWidth="1"/>
    <col min="14090" max="14090" width="9.26953125" customWidth="1"/>
    <col min="14091" max="14091" width="10" customWidth="1"/>
    <col min="14092" max="14092" width="11" customWidth="1"/>
    <col min="14337" max="14337" width="3.7265625" bestFit="1" customWidth="1"/>
    <col min="14338" max="14338" width="52.81640625" customWidth="1"/>
    <col min="14339" max="14339" width="6.7265625" customWidth="1"/>
    <col min="14340" max="14340" width="5.54296875" customWidth="1"/>
    <col min="14341" max="14341" width="9.1796875" customWidth="1"/>
    <col min="14342" max="14342" width="8.81640625" customWidth="1"/>
    <col min="14343" max="14343" width="8.7265625" customWidth="1"/>
    <col min="14344" max="14344" width="9" customWidth="1"/>
    <col min="14345" max="14345" width="9.1796875" customWidth="1"/>
    <col min="14346" max="14346" width="9.26953125" customWidth="1"/>
    <col min="14347" max="14347" width="10" customWidth="1"/>
    <col min="14348" max="14348" width="11" customWidth="1"/>
    <col min="14593" max="14593" width="3.7265625" bestFit="1" customWidth="1"/>
    <col min="14594" max="14594" width="52.81640625" customWidth="1"/>
    <col min="14595" max="14595" width="6.7265625" customWidth="1"/>
    <col min="14596" max="14596" width="5.54296875" customWidth="1"/>
    <col min="14597" max="14597" width="9.1796875" customWidth="1"/>
    <col min="14598" max="14598" width="8.81640625" customWidth="1"/>
    <col min="14599" max="14599" width="8.7265625" customWidth="1"/>
    <col min="14600" max="14600" width="9" customWidth="1"/>
    <col min="14601" max="14601" width="9.1796875" customWidth="1"/>
    <col min="14602" max="14602" width="9.26953125" customWidth="1"/>
    <col min="14603" max="14603" width="10" customWidth="1"/>
    <col min="14604" max="14604" width="11" customWidth="1"/>
    <col min="14849" max="14849" width="3.7265625" bestFit="1" customWidth="1"/>
    <col min="14850" max="14850" width="52.81640625" customWidth="1"/>
    <col min="14851" max="14851" width="6.7265625" customWidth="1"/>
    <col min="14852" max="14852" width="5.54296875" customWidth="1"/>
    <col min="14853" max="14853" width="9.1796875" customWidth="1"/>
    <col min="14854" max="14854" width="8.81640625" customWidth="1"/>
    <col min="14855" max="14855" width="8.7265625" customWidth="1"/>
    <col min="14856" max="14856" width="9" customWidth="1"/>
    <col min="14857" max="14857" width="9.1796875" customWidth="1"/>
    <col min="14858" max="14858" width="9.26953125" customWidth="1"/>
    <col min="14859" max="14859" width="10" customWidth="1"/>
    <col min="14860" max="14860" width="11" customWidth="1"/>
    <col min="15105" max="15105" width="3.7265625" bestFit="1" customWidth="1"/>
    <col min="15106" max="15106" width="52.81640625" customWidth="1"/>
    <col min="15107" max="15107" width="6.7265625" customWidth="1"/>
    <col min="15108" max="15108" width="5.54296875" customWidth="1"/>
    <col min="15109" max="15109" width="9.1796875" customWidth="1"/>
    <col min="15110" max="15110" width="8.81640625" customWidth="1"/>
    <col min="15111" max="15111" width="8.7265625" customWidth="1"/>
    <col min="15112" max="15112" width="9" customWidth="1"/>
    <col min="15113" max="15113" width="9.1796875" customWidth="1"/>
    <col min="15114" max="15114" width="9.26953125" customWidth="1"/>
    <col min="15115" max="15115" width="10" customWidth="1"/>
    <col min="15116" max="15116" width="11" customWidth="1"/>
    <col min="15361" max="15361" width="3.7265625" bestFit="1" customWidth="1"/>
    <col min="15362" max="15362" width="52.81640625" customWidth="1"/>
    <col min="15363" max="15363" width="6.7265625" customWidth="1"/>
    <col min="15364" max="15364" width="5.54296875" customWidth="1"/>
    <col min="15365" max="15365" width="9.1796875" customWidth="1"/>
    <col min="15366" max="15366" width="8.81640625" customWidth="1"/>
    <col min="15367" max="15367" width="8.7265625" customWidth="1"/>
    <col min="15368" max="15368" width="9" customWidth="1"/>
    <col min="15369" max="15369" width="9.1796875" customWidth="1"/>
    <col min="15370" max="15370" width="9.26953125" customWidth="1"/>
    <col min="15371" max="15371" width="10" customWidth="1"/>
    <col min="15372" max="15372" width="11" customWidth="1"/>
    <col min="15617" max="15617" width="3.7265625" bestFit="1" customWidth="1"/>
    <col min="15618" max="15618" width="52.81640625" customWidth="1"/>
    <col min="15619" max="15619" width="6.7265625" customWidth="1"/>
    <col min="15620" max="15620" width="5.54296875" customWidth="1"/>
    <col min="15621" max="15621" width="9.1796875" customWidth="1"/>
    <col min="15622" max="15622" width="8.81640625" customWidth="1"/>
    <col min="15623" max="15623" width="8.7265625" customWidth="1"/>
    <col min="15624" max="15624" width="9" customWidth="1"/>
    <col min="15625" max="15625" width="9.1796875" customWidth="1"/>
    <col min="15626" max="15626" width="9.26953125" customWidth="1"/>
    <col min="15627" max="15627" width="10" customWidth="1"/>
    <col min="15628" max="15628" width="11" customWidth="1"/>
    <col min="15873" max="15873" width="3.7265625" bestFit="1" customWidth="1"/>
    <col min="15874" max="15874" width="52.81640625" customWidth="1"/>
    <col min="15875" max="15875" width="6.7265625" customWidth="1"/>
    <col min="15876" max="15876" width="5.54296875" customWidth="1"/>
    <col min="15877" max="15877" width="9.1796875" customWidth="1"/>
    <col min="15878" max="15878" width="8.81640625" customWidth="1"/>
    <col min="15879" max="15879" width="8.7265625" customWidth="1"/>
    <col min="15880" max="15880" width="9" customWidth="1"/>
    <col min="15881" max="15881" width="9.1796875" customWidth="1"/>
    <col min="15882" max="15882" width="9.26953125" customWidth="1"/>
    <col min="15883" max="15883" width="10" customWidth="1"/>
    <col min="15884" max="15884" width="11" customWidth="1"/>
    <col min="16129" max="16129" width="3.7265625" bestFit="1" customWidth="1"/>
    <col min="16130" max="16130" width="52.81640625" customWidth="1"/>
    <col min="16131" max="16131" width="6.7265625" customWidth="1"/>
    <col min="16132" max="16132" width="5.54296875" customWidth="1"/>
    <col min="16133" max="16133" width="9.1796875" customWidth="1"/>
    <col min="16134" max="16134" width="8.81640625" customWidth="1"/>
    <col min="16135" max="16135" width="8.7265625" customWidth="1"/>
    <col min="16136" max="16136" width="9" customWidth="1"/>
    <col min="16137" max="16137" width="9.1796875" customWidth="1"/>
    <col min="16138" max="16138" width="9.26953125" customWidth="1"/>
    <col min="16139" max="16139" width="10" customWidth="1"/>
    <col min="16140" max="16140" width="11" customWidth="1"/>
  </cols>
  <sheetData>
    <row r="1" spans="1:14" ht="21.75" customHeight="1" x14ac:dyDescent="0.25">
      <c r="A1">
        <v>252</v>
      </c>
      <c r="B1" s="278"/>
      <c r="C1" s="278"/>
      <c r="D1" s="278"/>
      <c r="E1" s="278"/>
      <c r="F1" s="278"/>
      <c r="G1" s="278"/>
      <c r="H1" s="278"/>
      <c r="I1" s="278"/>
      <c r="J1" s="278"/>
      <c r="K1" s="278"/>
      <c r="L1" s="279"/>
    </row>
    <row r="2" spans="1:14" ht="13" customHeight="1" x14ac:dyDescent="0.25">
      <c r="A2" s="244" t="s">
        <v>40</v>
      </c>
      <c r="B2" s="587"/>
      <c r="C2" s="587"/>
      <c r="D2" s="587"/>
      <c r="E2" s="262" t="s">
        <v>277</v>
      </c>
      <c r="F2" s="598"/>
      <c r="G2" s="587"/>
      <c r="H2" s="587"/>
      <c r="I2" s="587"/>
      <c r="J2" s="234" t="s">
        <v>278</v>
      </c>
      <c r="K2" s="737"/>
      <c r="L2" s="738"/>
    </row>
    <row r="3" spans="1:14" ht="13" customHeight="1" x14ac:dyDescent="0.25">
      <c r="A3" s="245" t="s">
        <v>42</v>
      </c>
      <c r="B3" s="593"/>
      <c r="C3" s="593"/>
      <c r="D3" s="593"/>
      <c r="E3" s="265" t="s">
        <v>277</v>
      </c>
      <c r="F3" s="595"/>
      <c r="G3" s="589"/>
      <c r="H3" s="589"/>
      <c r="I3" s="589"/>
      <c r="J3" s="236" t="s">
        <v>278</v>
      </c>
      <c r="K3" s="739"/>
      <c r="L3" s="740"/>
    </row>
    <row r="4" spans="1:14" ht="13" customHeight="1" x14ac:dyDescent="0.25">
      <c r="A4" s="246" t="s">
        <v>45</v>
      </c>
      <c r="B4" s="591"/>
      <c r="C4" s="591"/>
      <c r="D4" s="591"/>
      <c r="E4" s="187" t="s">
        <v>277</v>
      </c>
      <c r="F4" s="596"/>
      <c r="G4" s="680"/>
      <c r="H4" s="680"/>
      <c r="I4" s="680"/>
      <c r="J4" s="238" t="s">
        <v>278</v>
      </c>
      <c r="K4" s="734"/>
      <c r="L4" s="735"/>
    </row>
    <row r="5" spans="1:14" ht="13" x14ac:dyDescent="0.25">
      <c r="A5" s="205" t="s">
        <v>48</v>
      </c>
      <c r="B5" s="593"/>
      <c r="C5" s="593"/>
      <c r="D5" s="593"/>
      <c r="E5" s="186" t="s">
        <v>277</v>
      </c>
      <c r="F5" s="595"/>
      <c r="G5" s="589"/>
      <c r="H5" s="589"/>
      <c r="I5" s="589"/>
      <c r="J5" s="186" t="s">
        <v>278</v>
      </c>
      <c r="K5" s="736"/>
      <c r="L5" s="594"/>
    </row>
    <row r="6" spans="1:14" ht="13" x14ac:dyDescent="0.25">
      <c r="A6" s="206" t="s">
        <v>84</v>
      </c>
      <c r="B6" s="591"/>
      <c r="C6" s="591"/>
      <c r="D6" s="591"/>
      <c r="E6" s="187" t="s">
        <v>277</v>
      </c>
      <c r="F6" s="596"/>
      <c r="G6" s="591"/>
      <c r="H6" s="591"/>
      <c r="I6" s="591"/>
      <c r="J6" s="187" t="s">
        <v>278</v>
      </c>
      <c r="K6" s="591"/>
      <c r="L6" s="592"/>
    </row>
    <row r="7" spans="1:14" ht="13" x14ac:dyDescent="0.25">
      <c r="A7" s="207" t="s">
        <v>86</v>
      </c>
      <c r="B7" s="711"/>
      <c r="C7" s="711"/>
      <c r="D7" s="711"/>
      <c r="E7" s="208" t="s">
        <v>277</v>
      </c>
      <c r="F7" s="731"/>
      <c r="G7" s="732"/>
      <c r="H7" s="732"/>
      <c r="I7" s="732"/>
      <c r="J7" s="209" t="s">
        <v>278</v>
      </c>
      <c r="K7" s="711"/>
      <c r="L7" s="733"/>
    </row>
    <row r="8" spans="1:14" ht="13" x14ac:dyDescent="0.25">
      <c r="A8" s="720" t="s">
        <v>283</v>
      </c>
      <c r="B8" s="719" t="s">
        <v>365</v>
      </c>
      <c r="C8" s="720" t="s">
        <v>285</v>
      </c>
      <c r="D8" s="720" t="s">
        <v>286</v>
      </c>
      <c r="E8" s="721" t="s">
        <v>287</v>
      </c>
      <c r="F8" s="721"/>
      <c r="G8" s="721"/>
      <c r="H8" s="721"/>
      <c r="I8" s="721"/>
      <c r="J8" s="721"/>
      <c r="K8" s="718" t="s">
        <v>288</v>
      </c>
      <c r="L8" s="718"/>
    </row>
    <row r="9" spans="1:14" ht="13.5" x14ac:dyDescent="0.25">
      <c r="A9" s="720"/>
      <c r="B9" s="719"/>
      <c r="C9" s="720"/>
      <c r="D9" s="720"/>
      <c r="E9" s="386" t="s">
        <v>40</v>
      </c>
      <c r="F9" s="387" t="s">
        <v>42</v>
      </c>
      <c r="G9" s="387" t="s">
        <v>45</v>
      </c>
      <c r="H9" s="387" t="s">
        <v>48</v>
      </c>
      <c r="I9" s="387" t="s">
        <v>84</v>
      </c>
      <c r="J9" s="387" t="s">
        <v>86</v>
      </c>
      <c r="K9" s="719" t="s">
        <v>289</v>
      </c>
      <c r="L9" s="719" t="s">
        <v>290</v>
      </c>
    </row>
    <row r="10" spans="1:14" ht="23.25" customHeight="1" x14ac:dyDescent="0.25">
      <c r="A10" s="720"/>
      <c r="B10" s="719"/>
      <c r="C10" s="720"/>
      <c r="D10" s="720"/>
      <c r="E10" s="385" t="s">
        <v>291</v>
      </c>
      <c r="F10" s="385" t="s">
        <v>291</v>
      </c>
      <c r="G10" s="385" t="s">
        <v>291</v>
      </c>
      <c r="H10" s="385" t="s">
        <v>291</v>
      </c>
      <c r="I10" s="385" t="s">
        <v>291</v>
      </c>
      <c r="J10" s="385" t="s">
        <v>291</v>
      </c>
      <c r="K10" s="719"/>
      <c r="L10" s="719"/>
    </row>
    <row r="11" spans="1:14" s="194" customFormat="1" ht="25" x14ac:dyDescent="0.25">
      <c r="A11" s="388">
        <v>1</v>
      </c>
      <c r="B11" s="412" t="s">
        <v>366</v>
      </c>
      <c r="C11" s="215" t="s">
        <v>285</v>
      </c>
      <c r="D11" s="379">
        <v>48</v>
      </c>
      <c r="E11" s="413">
        <v>27</v>
      </c>
      <c r="F11" s="413">
        <v>34.9</v>
      </c>
      <c r="G11" s="413">
        <v>28</v>
      </c>
      <c r="H11" s="413">
        <v>35.9</v>
      </c>
      <c r="I11" s="413">
        <v>25.12</v>
      </c>
      <c r="J11" s="413">
        <v>36.1</v>
      </c>
      <c r="K11" s="420">
        <f>AVERAGE(E11:J11)</f>
        <v>31.17</v>
      </c>
      <c r="L11" s="420">
        <f>K11*D11</f>
        <v>1496.16</v>
      </c>
    </row>
    <row r="12" spans="1:14" s="194" customFormat="1" ht="25" x14ac:dyDescent="0.25">
      <c r="A12" s="388">
        <v>2</v>
      </c>
      <c r="B12" s="412" t="s">
        <v>567</v>
      </c>
      <c r="C12" s="215" t="s">
        <v>285</v>
      </c>
      <c r="D12" s="379">
        <v>32</v>
      </c>
      <c r="E12" s="413">
        <v>212.7</v>
      </c>
      <c r="F12" s="413">
        <v>194</v>
      </c>
      <c r="G12" s="413">
        <v>214.9</v>
      </c>
      <c r="H12" s="413"/>
      <c r="I12" s="413"/>
      <c r="J12" s="413"/>
      <c r="K12" s="420">
        <f t="shared" ref="K12:K27" si="0">AVERAGE(E12:J12)</f>
        <v>207.20000000000002</v>
      </c>
      <c r="L12" s="420">
        <f t="shared" ref="L12:L27" si="1">K12*D12</f>
        <v>6630.4000000000005</v>
      </c>
    </row>
    <row r="13" spans="1:14" s="194" customFormat="1" ht="14.15" customHeight="1" x14ac:dyDescent="0.25">
      <c r="A13" s="388">
        <v>3</v>
      </c>
      <c r="B13" s="412" t="s">
        <v>367</v>
      </c>
      <c r="C13" s="215" t="s">
        <v>285</v>
      </c>
      <c r="D13" s="379">
        <v>32</v>
      </c>
      <c r="E13" s="413">
        <v>46.66</v>
      </c>
      <c r="F13" s="413">
        <v>50</v>
      </c>
      <c r="G13" s="413">
        <v>49</v>
      </c>
      <c r="H13" s="413">
        <v>47.8</v>
      </c>
      <c r="I13" s="413">
        <v>47.48</v>
      </c>
      <c r="J13" s="413">
        <v>49.9</v>
      </c>
      <c r="K13" s="420">
        <f t="shared" si="0"/>
        <v>48.473333333333329</v>
      </c>
      <c r="L13" s="420">
        <f t="shared" si="1"/>
        <v>1551.1466666666665</v>
      </c>
    </row>
    <row r="14" spans="1:14" s="194" customFormat="1" ht="12.65" customHeight="1" x14ac:dyDescent="0.25">
      <c r="A14" s="388">
        <v>4</v>
      </c>
      <c r="B14" s="414" t="s">
        <v>368</v>
      </c>
      <c r="C14" s="215" t="s">
        <v>285</v>
      </c>
      <c r="D14" s="377">
        <v>1</v>
      </c>
      <c r="E14" s="413">
        <v>448</v>
      </c>
      <c r="F14" s="413">
        <v>500</v>
      </c>
      <c r="G14" s="413">
        <v>550</v>
      </c>
      <c r="H14" s="413">
        <v>476.91</v>
      </c>
      <c r="I14" s="413">
        <v>499.9</v>
      </c>
      <c r="J14" s="413">
        <v>557.05999999999995</v>
      </c>
      <c r="K14" s="420">
        <f t="shared" si="0"/>
        <v>505.31166666666667</v>
      </c>
      <c r="L14" s="420">
        <f t="shared" si="1"/>
        <v>505.31166666666667</v>
      </c>
      <c r="N14" s="204"/>
    </row>
    <row r="15" spans="1:14" s="194" customFormat="1" ht="12.65" customHeight="1" x14ac:dyDescent="0.25">
      <c r="A15" s="388">
        <v>5</v>
      </c>
      <c r="B15" s="415" t="s">
        <v>369</v>
      </c>
      <c r="C15" s="215" t="s">
        <v>285</v>
      </c>
      <c r="D15" s="379">
        <v>1</v>
      </c>
      <c r="E15" s="413">
        <v>244.75</v>
      </c>
      <c r="F15" s="413">
        <v>269.23</v>
      </c>
      <c r="G15" s="413">
        <v>282.68</v>
      </c>
      <c r="H15" s="413">
        <v>259</v>
      </c>
      <c r="I15" s="413">
        <v>249.9</v>
      </c>
      <c r="J15" s="413">
        <v>289.20999999999998</v>
      </c>
      <c r="K15" s="420">
        <f t="shared" si="0"/>
        <v>265.79500000000002</v>
      </c>
      <c r="L15" s="420">
        <f t="shared" si="1"/>
        <v>265.79500000000002</v>
      </c>
    </row>
    <row r="16" spans="1:14" s="194" customFormat="1" ht="12.65" customHeight="1" x14ac:dyDescent="0.25">
      <c r="A16" s="388">
        <v>6</v>
      </c>
      <c r="B16" s="415" t="s">
        <v>370</v>
      </c>
      <c r="C16" s="416" t="s">
        <v>285</v>
      </c>
      <c r="D16" s="379">
        <v>2</v>
      </c>
      <c r="E16" s="413">
        <v>2019</v>
      </c>
      <c r="F16" s="413">
        <v>2590</v>
      </c>
      <c r="G16" s="413">
        <v>1889</v>
      </c>
      <c r="H16" s="413">
        <v>2554.98</v>
      </c>
      <c r="I16" s="413">
        <v>1689</v>
      </c>
      <c r="J16" s="413">
        <v>1917.1</v>
      </c>
      <c r="K16" s="420">
        <f t="shared" si="0"/>
        <v>2109.8466666666668</v>
      </c>
      <c r="L16" s="420">
        <f t="shared" si="1"/>
        <v>4219.6933333333336</v>
      </c>
    </row>
    <row r="17" spans="1:12" s="194" customFormat="1" ht="12.65" customHeight="1" x14ac:dyDescent="0.25">
      <c r="A17" s="388">
        <v>7</v>
      </c>
      <c r="B17" s="415" t="s">
        <v>371</v>
      </c>
      <c r="C17" s="215" t="s">
        <v>285</v>
      </c>
      <c r="D17" s="379">
        <v>2</v>
      </c>
      <c r="E17" s="413">
        <v>247</v>
      </c>
      <c r="F17" s="413">
        <v>234.9</v>
      </c>
      <c r="G17" s="413">
        <v>195</v>
      </c>
      <c r="H17" s="413">
        <v>199.72</v>
      </c>
      <c r="I17" s="413">
        <v>209.9</v>
      </c>
      <c r="J17" s="413">
        <v>264.89999999999998</v>
      </c>
      <c r="K17" s="420">
        <f t="shared" si="0"/>
        <v>225.23666666666668</v>
      </c>
      <c r="L17" s="420">
        <f t="shared" si="1"/>
        <v>450.47333333333336</v>
      </c>
    </row>
    <row r="18" spans="1:12" s="194" customFormat="1" ht="12.65" customHeight="1" x14ac:dyDescent="0.25">
      <c r="A18" s="388">
        <v>8</v>
      </c>
      <c r="B18" s="415" t="s">
        <v>372</v>
      </c>
      <c r="C18" s="215" t="s">
        <v>285</v>
      </c>
      <c r="D18" s="379">
        <v>1</v>
      </c>
      <c r="E18" s="413">
        <v>1219.99</v>
      </c>
      <c r="F18" s="413">
        <v>1567.67</v>
      </c>
      <c r="G18" s="413">
        <v>1795</v>
      </c>
      <c r="H18" s="413">
        <v>1306.71</v>
      </c>
      <c r="I18" s="413">
        <v>1283.6400000000001</v>
      </c>
      <c r="J18" s="413">
        <v>1371.37</v>
      </c>
      <c r="K18" s="420">
        <f t="shared" si="0"/>
        <v>1424.0633333333335</v>
      </c>
      <c r="L18" s="420">
        <f t="shared" si="1"/>
        <v>1424.0633333333335</v>
      </c>
    </row>
    <row r="19" spans="1:12" s="194" customFormat="1" ht="12.65" customHeight="1" x14ac:dyDescent="0.25">
      <c r="A19" s="388">
        <v>9</v>
      </c>
      <c r="B19" s="417" t="s">
        <v>373</v>
      </c>
      <c r="C19" s="215" t="s">
        <v>285</v>
      </c>
      <c r="D19" s="379">
        <v>1</v>
      </c>
      <c r="E19" s="413">
        <v>270</v>
      </c>
      <c r="F19" s="413">
        <v>210</v>
      </c>
      <c r="G19" s="413">
        <v>198</v>
      </c>
      <c r="H19" s="413">
        <v>199</v>
      </c>
      <c r="I19" s="413">
        <v>230</v>
      </c>
      <c r="J19" s="413">
        <v>292.17</v>
      </c>
      <c r="K19" s="420">
        <f t="shared" si="0"/>
        <v>233.19500000000002</v>
      </c>
      <c r="L19" s="420">
        <f t="shared" si="1"/>
        <v>233.19500000000002</v>
      </c>
    </row>
    <row r="20" spans="1:12" s="194" customFormat="1" ht="24.75" customHeight="1" x14ac:dyDescent="0.25">
      <c r="A20" s="388">
        <v>10</v>
      </c>
      <c r="B20" s="418" t="s">
        <v>374</v>
      </c>
      <c r="C20" s="215" t="s">
        <v>285</v>
      </c>
      <c r="D20" s="379">
        <v>1</v>
      </c>
      <c r="E20" s="413">
        <v>73.900000000000006</v>
      </c>
      <c r="F20" s="413">
        <v>48.99</v>
      </c>
      <c r="G20" s="413">
        <v>76.42</v>
      </c>
      <c r="H20" s="413"/>
      <c r="I20" s="413"/>
      <c r="J20" s="413"/>
      <c r="K20" s="420">
        <f t="shared" si="0"/>
        <v>66.436666666666667</v>
      </c>
      <c r="L20" s="420">
        <f t="shared" si="1"/>
        <v>66.436666666666667</v>
      </c>
    </row>
    <row r="21" spans="1:12" s="194" customFormat="1" ht="12.65" customHeight="1" x14ac:dyDescent="0.25">
      <c r="A21" s="388">
        <v>11</v>
      </c>
      <c r="B21" s="418" t="s">
        <v>375</v>
      </c>
      <c r="C21" s="215" t="s">
        <v>285</v>
      </c>
      <c r="D21" s="379">
        <v>1</v>
      </c>
      <c r="E21" s="413">
        <v>21.58</v>
      </c>
      <c r="F21" s="413">
        <v>18</v>
      </c>
      <c r="G21" s="413">
        <v>25</v>
      </c>
      <c r="H21" s="413">
        <v>24.9</v>
      </c>
      <c r="I21" s="413">
        <v>24.73</v>
      </c>
      <c r="J21" s="413">
        <v>27.9</v>
      </c>
      <c r="K21" s="420">
        <f t="shared" si="0"/>
        <v>23.684999999999999</v>
      </c>
      <c r="L21" s="420">
        <f t="shared" si="1"/>
        <v>23.684999999999999</v>
      </c>
    </row>
    <row r="22" spans="1:12" s="194" customFormat="1" ht="12.65" customHeight="1" x14ac:dyDescent="0.25">
      <c r="A22" s="388">
        <v>12</v>
      </c>
      <c r="B22" s="418" t="s">
        <v>376</v>
      </c>
      <c r="C22" s="215" t="s">
        <v>285</v>
      </c>
      <c r="D22" s="379">
        <v>1</v>
      </c>
      <c r="E22" s="413">
        <v>50.57</v>
      </c>
      <c r="F22" s="413">
        <v>42.14</v>
      </c>
      <c r="G22" s="413">
        <v>48.97</v>
      </c>
      <c r="H22" s="413">
        <v>43.78</v>
      </c>
      <c r="I22" s="413">
        <v>42.9</v>
      </c>
      <c r="J22" s="413">
        <v>40.340000000000003</v>
      </c>
      <c r="K22" s="420">
        <f t="shared" si="0"/>
        <v>44.783333333333339</v>
      </c>
      <c r="L22" s="420">
        <f t="shared" si="1"/>
        <v>44.783333333333339</v>
      </c>
    </row>
    <row r="23" spans="1:12" s="194" customFormat="1" ht="12.65" customHeight="1" x14ac:dyDescent="0.25">
      <c r="A23" s="388">
        <v>13</v>
      </c>
      <c r="B23" s="415" t="s">
        <v>377</v>
      </c>
      <c r="C23" s="215" t="s">
        <v>285</v>
      </c>
      <c r="D23" s="379">
        <v>1</v>
      </c>
      <c r="E23" s="413">
        <v>70</v>
      </c>
      <c r="F23" s="413">
        <v>76.5</v>
      </c>
      <c r="G23" s="413">
        <v>85.25</v>
      </c>
      <c r="H23" s="413">
        <v>68.83</v>
      </c>
      <c r="I23" s="413">
        <v>70.09</v>
      </c>
      <c r="J23" s="413">
        <v>86.44</v>
      </c>
      <c r="K23" s="420">
        <f t="shared" si="0"/>
        <v>76.184999999999988</v>
      </c>
      <c r="L23" s="420">
        <f t="shared" si="1"/>
        <v>76.184999999999988</v>
      </c>
    </row>
    <row r="24" spans="1:12" s="194" customFormat="1" ht="12.65" customHeight="1" x14ac:dyDescent="0.25">
      <c r="A24" s="388">
        <v>14</v>
      </c>
      <c r="B24" s="419" t="s">
        <v>378</v>
      </c>
      <c r="C24" s="215" t="s">
        <v>285</v>
      </c>
      <c r="D24" s="379">
        <v>1</v>
      </c>
      <c r="E24" s="413">
        <v>28.3</v>
      </c>
      <c r="F24" s="413">
        <v>29.48</v>
      </c>
      <c r="G24" s="413">
        <v>29.15</v>
      </c>
      <c r="H24" s="413">
        <v>35.72</v>
      </c>
      <c r="I24" s="413">
        <v>25.97</v>
      </c>
      <c r="J24" s="413">
        <v>32.9</v>
      </c>
      <c r="K24" s="420">
        <f t="shared" si="0"/>
        <v>30.253333333333334</v>
      </c>
      <c r="L24" s="420">
        <f t="shared" si="1"/>
        <v>30.253333333333334</v>
      </c>
    </row>
    <row r="25" spans="1:12" s="194" customFormat="1" ht="72.75" customHeight="1" x14ac:dyDescent="0.25">
      <c r="A25" s="388">
        <v>15</v>
      </c>
      <c r="B25" s="452" t="s">
        <v>379</v>
      </c>
      <c r="C25" s="215" t="s">
        <v>285</v>
      </c>
      <c r="D25" s="379">
        <v>1</v>
      </c>
      <c r="E25" s="413">
        <v>115.28</v>
      </c>
      <c r="F25" s="413">
        <v>155.9</v>
      </c>
      <c r="G25" s="413">
        <v>183.91</v>
      </c>
      <c r="H25" s="413">
        <v>158.68</v>
      </c>
      <c r="I25" s="413"/>
      <c r="J25" s="413"/>
      <c r="K25" s="420">
        <f t="shared" si="0"/>
        <v>153.4425</v>
      </c>
      <c r="L25" s="420">
        <f t="shared" si="1"/>
        <v>153.4425</v>
      </c>
    </row>
    <row r="26" spans="1:12" s="194" customFormat="1" ht="38.5" customHeight="1" x14ac:dyDescent="0.25">
      <c r="A26" s="388">
        <v>16</v>
      </c>
      <c r="B26" s="419" t="s">
        <v>380</v>
      </c>
      <c r="C26" s="215" t="s">
        <v>285</v>
      </c>
      <c r="D26" s="379">
        <v>1</v>
      </c>
      <c r="E26" s="413">
        <v>2248</v>
      </c>
      <c r="F26" s="413">
        <v>2720</v>
      </c>
      <c r="G26" s="413">
        <v>2599</v>
      </c>
      <c r="H26" s="413">
        <v>2689</v>
      </c>
      <c r="I26" s="413">
        <v>2219.79</v>
      </c>
      <c r="J26" s="413">
        <v>2200</v>
      </c>
      <c r="K26" s="420">
        <f t="shared" ref="K26" si="2">AVERAGE(E26:J26)</f>
        <v>2445.9650000000001</v>
      </c>
      <c r="L26" s="420">
        <f t="shared" ref="L26" si="3">K26*D26</f>
        <v>2445.9650000000001</v>
      </c>
    </row>
    <row r="27" spans="1:12" s="194" customFormat="1" ht="28.5" customHeight="1" x14ac:dyDescent="0.25">
      <c r="A27" s="388">
        <v>17</v>
      </c>
      <c r="B27" s="401" t="s">
        <v>542</v>
      </c>
      <c r="C27" s="215" t="s">
        <v>285</v>
      </c>
      <c r="D27" s="379">
        <v>9</v>
      </c>
      <c r="E27" s="413">
        <v>1199.9000000000001</v>
      </c>
      <c r="F27" s="413">
        <v>1299</v>
      </c>
      <c r="G27" s="413">
        <v>1249.99</v>
      </c>
      <c r="H27" s="413"/>
      <c r="I27" s="413"/>
      <c r="J27" s="413"/>
      <c r="K27" s="420">
        <f t="shared" si="0"/>
        <v>1249.6300000000001</v>
      </c>
      <c r="L27" s="420">
        <f t="shared" si="1"/>
        <v>11246.670000000002</v>
      </c>
    </row>
    <row r="28" spans="1:12" s="194" customFormat="1" ht="13" customHeight="1" x14ac:dyDescent="0.25">
      <c r="A28" s="685" t="s">
        <v>381</v>
      </c>
      <c r="B28" s="686"/>
      <c r="C28" s="686"/>
      <c r="D28" s="686"/>
      <c r="E28" s="686"/>
      <c r="F28" s="686"/>
      <c r="G28" s="686"/>
      <c r="H28" s="686"/>
      <c r="I28" s="686"/>
      <c r="J28" s="687"/>
      <c r="K28" s="576">
        <f>SUM(L11:L27)</f>
        <v>30863.659166666675</v>
      </c>
      <c r="L28" s="577"/>
    </row>
    <row r="29" spans="1:12" s="194" customFormat="1" ht="13" customHeight="1" x14ac:dyDescent="0.25">
      <c r="A29" s="184"/>
      <c r="B29" s="184"/>
      <c r="C29" s="184"/>
      <c r="D29" s="184"/>
      <c r="E29" s="184"/>
      <c r="F29" s="184"/>
      <c r="G29" s="184"/>
      <c r="H29" s="184"/>
      <c r="I29" s="184"/>
      <c r="J29" s="184"/>
      <c r="K29" s="228"/>
      <c r="L29" s="228"/>
    </row>
    <row r="30" spans="1:12" s="194" customFormat="1" ht="13" customHeight="1" x14ac:dyDescent="0.3">
      <c r="A30" s="573" t="s">
        <v>382</v>
      </c>
      <c r="B30" s="574"/>
      <c r="C30" s="574"/>
      <c r="D30" s="574"/>
      <c r="E30" s="574"/>
      <c r="F30" s="574"/>
      <c r="G30" s="574"/>
      <c r="H30" s="574"/>
      <c r="I30" s="574"/>
      <c r="J30" s="575"/>
      <c r="K30" s="578">
        <f>(K28*20%)/12/'Limpeza - Item 1'!E185</f>
        <v>46.763119949494964</v>
      </c>
      <c r="L30" s="579"/>
    </row>
    <row r="31" spans="1:12" s="194" customFormat="1" ht="13" customHeight="1" thickBot="1" x14ac:dyDescent="0.3">
      <c r="A31" s="184"/>
      <c r="B31" s="184"/>
      <c r="C31" s="184"/>
      <c r="D31" s="184"/>
      <c r="E31" s="184"/>
      <c r="F31" s="184"/>
      <c r="G31" s="184"/>
      <c r="H31" s="184"/>
      <c r="I31" s="184"/>
      <c r="J31" s="184"/>
      <c r="K31" s="222"/>
      <c r="L31" s="222"/>
    </row>
    <row r="32" spans="1:12" s="194" customFormat="1" ht="13" customHeight="1" x14ac:dyDescent="0.3">
      <c r="A32" s="184"/>
      <c r="B32" s="716" t="s">
        <v>555</v>
      </c>
      <c r="C32" s="717"/>
      <c r="D32" s="717"/>
      <c r="E32" s="717"/>
      <c r="F32" s="717"/>
      <c r="G32" s="717"/>
      <c r="H32" s="717"/>
      <c r="I32" s="717"/>
      <c r="J32" s="717"/>
      <c r="K32" s="445" t="s">
        <v>26</v>
      </c>
      <c r="L32" s="446" t="s">
        <v>556</v>
      </c>
    </row>
    <row r="33" spans="1:12" s="194" customFormat="1" ht="13" customHeight="1" x14ac:dyDescent="0.3">
      <c r="A33" s="184"/>
      <c r="B33" s="459" t="s">
        <v>557</v>
      </c>
      <c r="C33" s="541"/>
      <c r="D33" s="541"/>
      <c r="E33" s="541"/>
      <c r="F33" s="541"/>
      <c r="G33" s="541"/>
      <c r="H33" s="541"/>
      <c r="I33" s="541"/>
      <c r="J33" s="541"/>
      <c r="K33" s="371"/>
      <c r="L33" s="447">
        <v>1483.55</v>
      </c>
    </row>
    <row r="34" spans="1:12" s="194" customFormat="1" ht="13" customHeight="1" x14ac:dyDescent="0.3">
      <c r="A34" s="184"/>
      <c r="B34" s="459" t="s">
        <v>558</v>
      </c>
      <c r="C34" s="541"/>
      <c r="D34" s="541"/>
      <c r="E34" s="541"/>
      <c r="F34" s="541"/>
      <c r="G34" s="541"/>
      <c r="H34" s="541"/>
      <c r="I34" s="541"/>
      <c r="J34" s="541"/>
      <c r="K34" s="371"/>
      <c r="L34" s="447">
        <v>30</v>
      </c>
    </row>
    <row r="35" spans="1:12" s="194" customFormat="1" ht="13" customHeight="1" x14ac:dyDescent="0.3">
      <c r="A35" s="184"/>
      <c r="B35" s="459" t="s">
        <v>559</v>
      </c>
      <c r="C35" s="541"/>
      <c r="D35" s="541"/>
      <c r="E35" s="541"/>
      <c r="F35" s="541"/>
      <c r="G35" s="541"/>
      <c r="H35" s="541"/>
      <c r="I35" s="541"/>
      <c r="J35" s="541"/>
      <c r="K35" s="371"/>
      <c r="L35" s="448">
        <v>170</v>
      </c>
    </row>
    <row r="36" spans="1:12" s="194" customFormat="1" ht="13" customHeight="1" x14ac:dyDescent="0.3">
      <c r="A36" s="184"/>
      <c r="B36" s="459" t="s">
        <v>560</v>
      </c>
      <c r="C36" s="541"/>
      <c r="D36" s="541"/>
      <c r="E36" s="541"/>
      <c r="F36" s="541"/>
      <c r="G36" s="541"/>
      <c r="H36" s="541"/>
      <c r="I36" s="541"/>
      <c r="J36" s="541"/>
      <c r="K36" s="161">
        <v>50</v>
      </c>
      <c r="L36" s="448">
        <f>K36*60</f>
        <v>3000</v>
      </c>
    </row>
    <row r="37" spans="1:12" s="194" customFormat="1" ht="13" customHeight="1" x14ac:dyDescent="0.25">
      <c r="A37" s="184"/>
      <c r="B37" s="459"/>
      <c r="C37" s="541"/>
      <c r="D37" s="541"/>
      <c r="E37" s="541"/>
      <c r="F37" s="541"/>
      <c r="G37" s="541"/>
      <c r="H37" s="541"/>
      <c r="I37" s="541"/>
      <c r="J37" s="541"/>
      <c r="K37" s="371"/>
      <c r="L37" s="449"/>
    </row>
    <row r="38" spans="1:12" s="194" customFormat="1" ht="13" customHeight="1" x14ac:dyDescent="0.25">
      <c r="A38" s="184"/>
      <c r="B38" s="723"/>
      <c r="C38" s="724"/>
      <c r="D38" s="724"/>
      <c r="E38" s="724"/>
      <c r="F38" s="724"/>
      <c r="G38" s="724"/>
      <c r="H38" s="724"/>
      <c r="I38" s="724"/>
      <c r="J38" s="724"/>
      <c r="K38" s="724"/>
      <c r="L38" s="725"/>
    </row>
    <row r="39" spans="1:12" s="194" customFormat="1" ht="13" customHeight="1" thickBot="1" x14ac:dyDescent="0.35">
      <c r="A39" s="184"/>
      <c r="B39" s="726" t="s">
        <v>561</v>
      </c>
      <c r="C39" s="727"/>
      <c r="D39" s="727"/>
      <c r="E39" s="727"/>
      <c r="F39" s="727"/>
      <c r="G39" s="727"/>
      <c r="H39" s="727"/>
      <c r="I39" s="727"/>
      <c r="J39" s="728"/>
      <c r="K39" s="729">
        <f>(L33+L34+L35+L36)/60/'Limpeza - Item 1'!E185</f>
        <v>7.0962878787878791</v>
      </c>
      <c r="L39" s="730"/>
    </row>
    <row r="40" spans="1:12" s="194" customFormat="1" ht="13" customHeight="1" x14ac:dyDescent="0.25">
      <c r="A40" s="184"/>
      <c r="B40" s="184"/>
      <c r="C40" s="184"/>
      <c r="D40" s="184"/>
      <c r="E40" s="184"/>
      <c r="F40" s="184"/>
      <c r="G40" s="184"/>
      <c r="H40" s="184"/>
      <c r="I40" s="184"/>
      <c r="J40" s="184"/>
      <c r="K40" s="222"/>
      <c r="L40" s="222"/>
    </row>
    <row r="41" spans="1:12" s="194" customFormat="1" ht="13" customHeight="1" thickBot="1" x14ac:dyDescent="0.3">
      <c r="A41" s="184"/>
      <c r="B41" s="184"/>
      <c r="C41" s="184"/>
      <c r="D41" s="184"/>
      <c r="E41" s="184"/>
      <c r="F41" s="184"/>
      <c r="G41" s="184"/>
      <c r="H41" s="184"/>
      <c r="I41" s="184"/>
      <c r="J41" s="184"/>
      <c r="K41" s="222"/>
      <c r="L41" s="222"/>
    </row>
    <row r="42" spans="1:12" s="194" customFormat="1" ht="13" customHeight="1" thickBot="1" x14ac:dyDescent="0.35">
      <c r="A42" s="573" t="s">
        <v>382</v>
      </c>
      <c r="B42" s="574"/>
      <c r="C42" s="574"/>
      <c r="D42" s="574"/>
      <c r="E42" s="574"/>
      <c r="F42" s="574"/>
      <c r="G42" s="574"/>
      <c r="H42" s="574"/>
      <c r="I42" s="574"/>
      <c r="J42" s="575"/>
      <c r="K42" s="578">
        <f>K30+K39</f>
        <v>53.859407828282841</v>
      </c>
      <c r="L42" s="579"/>
    </row>
    <row r="43" spans="1:12" s="194" customFormat="1" ht="13" customHeight="1" x14ac:dyDescent="0.25">
      <c r="A43" s="184"/>
      <c r="B43" s="184"/>
      <c r="C43" s="184"/>
      <c r="D43" s="184"/>
      <c r="E43" s="184"/>
      <c r="F43" s="184"/>
      <c r="G43" s="184"/>
      <c r="H43" s="184"/>
      <c r="I43" s="184"/>
      <c r="J43" s="184"/>
      <c r="K43" s="222"/>
      <c r="L43" s="222"/>
    </row>
    <row r="44" spans="1:12" s="194" customFormat="1" ht="13" customHeight="1" x14ac:dyDescent="0.25">
      <c r="A44" s="184"/>
      <c r="B44" s="184"/>
      <c r="C44" s="184"/>
      <c r="D44" s="184"/>
      <c r="E44" s="184"/>
      <c r="F44" s="184"/>
      <c r="G44" s="184"/>
      <c r="H44" s="184"/>
      <c r="I44" s="184"/>
      <c r="J44" s="184"/>
      <c r="K44" s="222"/>
      <c r="L44" s="222"/>
    </row>
    <row r="45" spans="1:12" s="194" customFormat="1" ht="13" customHeight="1" x14ac:dyDescent="0.25">
      <c r="A45" s="184"/>
      <c r="B45" s="184"/>
      <c r="C45" s="184"/>
      <c r="D45" s="184"/>
      <c r="E45" s="184"/>
      <c r="F45" s="184"/>
      <c r="G45" s="184"/>
      <c r="H45" s="184"/>
      <c r="I45" s="184"/>
      <c r="J45" s="184"/>
      <c r="K45" s="222"/>
      <c r="L45" s="222"/>
    </row>
    <row r="46" spans="1:12" s="194" customFormat="1" ht="13" customHeight="1" thickBot="1" x14ac:dyDescent="0.3">
      <c r="A46" s="184"/>
      <c r="B46" s="184"/>
      <c r="C46" s="184"/>
      <c r="D46" s="184"/>
      <c r="E46" s="184"/>
      <c r="F46" s="184"/>
      <c r="G46" s="184"/>
      <c r="H46" s="184"/>
      <c r="I46" s="184"/>
      <c r="J46" s="184"/>
      <c r="K46" s="222"/>
      <c r="L46" s="222"/>
    </row>
    <row r="47" spans="1:12" s="194" customFormat="1" x14ac:dyDescent="0.25">
      <c r="A47" s="631"/>
      <c r="B47" s="632"/>
      <c r="C47" s="637" t="s">
        <v>305</v>
      </c>
      <c r="D47" s="640"/>
      <c r="E47" s="641"/>
      <c r="F47" s="641"/>
      <c r="G47" s="641"/>
      <c r="H47" s="641"/>
      <c r="I47" s="641"/>
      <c r="J47" s="641"/>
      <c r="K47" s="641"/>
      <c r="L47" s="642"/>
    </row>
    <row r="48" spans="1:12" s="194" customFormat="1" x14ac:dyDescent="0.25">
      <c r="A48" s="633"/>
      <c r="B48" s="634"/>
      <c r="C48" s="638"/>
      <c r="D48" s="643"/>
      <c r="E48" s="644"/>
      <c r="F48" s="644"/>
      <c r="G48" s="644"/>
      <c r="H48" s="644"/>
      <c r="I48" s="644"/>
      <c r="J48" s="644"/>
      <c r="K48" s="644"/>
      <c r="L48" s="645"/>
    </row>
    <row r="49" spans="1:12" x14ac:dyDescent="0.25">
      <c r="A49" s="633"/>
      <c r="B49" s="634"/>
      <c r="C49" s="638"/>
      <c r="D49" s="643"/>
      <c r="E49" s="644"/>
      <c r="F49" s="644"/>
      <c r="G49" s="644"/>
      <c r="H49" s="644"/>
      <c r="I49" s="644"/>
      <c r="J49" s="644"/>
      <c r="K49" s="644"/>
      <c r="L49" s="645"/>
    </row>
    <row r="50" spans="1:12" x14ac:dyDescent="0.25">
      <c r="A50" s="635"/>
      <c r="B50" s="636"/>
      <c r="C50" s="639"/>
      <c r="D50" s="646"/>
      <c r="E50" s="647"/>
      <c r="F50" s="647"/>
      <c r="G50" s="647"/>
      <c r="H50" s="647"/>
      <c r="I50" s="647"/>
      <c r="J50" s="647"/>
      <c r="K50" s="647"/>
      <c r="L50" s="648"/>
    </row>
    <row r="52" spans="1:12" x14ac:dyDescent="0.25">
      <c r="A52" s="722" t="s">
        <v>383</v>
      </c>
      <c r="B52" s="650"/>
      <c r="C52" s="650"/>
      <c r="D52" s="650"/>
      <c r="E52" s="650"/>
      <c r="F52" s="650"/>
      <c r="G52" s="650"/>
      <c r="H52" s="650"/>
      <c r="I52" s="650"/>
      <c r="J52" s="650"/>
      <c r="K52" s="650"/>
      <c r="L52" s="651"/>
    </row>
    <row r="53" spans="1:12" ht="20.25" customHeight="1" x14ac:dyDescent="0.25">
      <c r="A53" s="652"/>
      <c r="B53" s="571"/>
      <c r="C53" s="571"/>
      <c r="D53" s="571"/>
      <c r="E53" s="571"/>
      <c r="F53" s="571"/>
      <c r="G53" s="571"/>
      <c r="H53" s="571"/>
      <c r="I53" s="571"/>
      <c r="J53" s="571"/>
      <c r="K53" s="571"/>
      <c r="L53" s="653"/>
    </row>
    <row r="54" spans="1:12" x14ac:dyDescent="0.25">
      <c r="A54" s="652"/>
      <c r="B54" s="571"/>
      <c r="C54" s="571"/>
      <c r="D54" s="571"/>
      <c r="E54" s="571"/>
      <c r="F54" s="571"/>
      <c r="G54" s="571"/>
      <c r="H54" s="571"/>
      <c r="I54" s="571"/>
      <c r="J54" s="571"/>
      <c r="K54" s="571"/>
      <c r="L54" s="653"/>
    </row>
    <row r="55" spans="1:12" ht="14.25" customHeight="1" x14ac:dyDescent="0.25">
      <c r="A55" s="652"/>
      <c r="B55" s="571"/>
      <c r="C55" s="571"/>
      <c r="D55" s="571"/>
      <c r="E55" s="571"/>
      <c r="F55" s="571"/>
      <c r="G55" s="571"/>
      <c r="H55" s="571"/>
      <c r="I55" s="571"/>
      <c r="J55" s="571"/>
      <c r="K55" s="571"/>
      <c r="L55" s="653"/>
    </row>
    <row r="56" spans="1:12" x14ac:dyDescent="0.25">
      <c r="A56" s="654"/>
      <c r="B56" s="655"/>
      <c r="C56" s="655"/>
      <c r="D56" s="655"/>
      <c r="E56" s="655"/>
      <c r="F56" s="655"/>
      <c r="G56" s="655"/>
      <c r="H56" s="655"/>
      <c r="I56" s="655"/>
      <c r="J56" s="655"/>
      <c r="K56" s="655"/>
      <c r="L56" s="656"/>
    </row>
    <row r="62" spans="1:12" ht="13" x14ac:dyDescent="0.25">
      <c r="A62" s="720" t="s">
        <v>283</v>
      </c>
      <c r="B62" s="719" t="s">
        <v>550</v>
      </c>
      <c r="C62" s="720" t="s">
        <v>285</v>
      </c>
      <c r="D62" s="720" t="s">
        <v>286</v>
      </c>
      <c r="E62" s="721" t="s">
        <v>287</v>
      </c>
      <c r="F62" s="721"/>
      <c r="G62" s="721"/>
      <c r="H62" s="721"/>
      <c r="I62" s="721"/>
      <c r="J62" s="721"/>
      <c r="K62" s="718" t="s">
        <v>288</v>
      </c>
      <c r="L62" s="718"/>
    </row>
    <row r="63" spans="1:12" ht="13.5" x14ac:dyDescent="0.25">
      <c r="A63" s="720"/>
      <c r="B63" s="719"/>
      <c r="C63" s="720"/>
      <c r="D63" s="720"/>
      <c r="E63" s="386" t="s">
        <v>40</v>
      </c>
      <c r="F63" s="387" t="s">
        <v>42</v>
      </c>
      <c r="G63" s="387" t="s">
        <v>45</v>
      </c>
      <c r="H63" s="387" t="s">
        <v>48</v>
      </c>
      <c r="I63" s="387" t="s">
        <v>84</v>
      </c>
      <c r="J63" s="387" t="s">
        <v>86</v>
      </c>
      <c r="K63" s="719" t="s">
        <v>289</v>
      </c>
      <c r="L63" s="719" t="s">
        <v>290</v>
      </c>
    </row>
    <row r="64" spans="1:12" x14ac:dyDescent="0.25">
      <c r="A64" s="720"/>
      <c r="B64" s="719"/>
      <c r="C64" s="720"/>
      <c r="D64" s="720"/>
      <c r="E64" s="385" t="s">
        <v>291</v>
      </c>
      <c r="F64" s="385" t="s">
        <v>291</v>
      </c>
      <c r="G64" s="385" t="s">
        <v>291</v>
      </c>
      <c r="H64" s="385" t="s">
        <v>291</v>
      </c>
      <c r="I64" s="385" t="s">
        <v>291</v>
      </c>
      <c r="J64" s="385" t="s">
        <v>291</v>
      </c>
      <c r="K64" s="719"/>
      <c r="L64" s="719"/>
    </row>
    <row r="65" spans="1:12" x14ac:dyDescent="0.25">
      <c r="A65" s="388">
        <v>1</v>
      </c>
      <c r="B65" s="401" t="s">
        <v>551</v>
      </c>
      <c r="C65" s="196" t="s">
        <v>285</v>
      </c>
      <c r="D65" s="438">
        <v>1</v>
      </c>
      <c r="E65" s="439">
        <v>322.05</v>
      </c>
      <c r="F65" s="439">
        <v>521</v>
      </c>
      <c r="G65" s="439">
        <v>381.9</v>
      </c>
      <c r="H65" s="440"/>
      <c r="I65" s="440"/>
      <c r="J65" s="441"/>
      <c r="K65" s="442">
        <f>AVERAGE(E65:J65)</f>
        <v>408.31666666666661</v>
      </c>
      <c r="L65" s="442">
        <f>K65*D65</f>
        <v>408.31666666666661</v>
      </c>
    </row>
    <row r="66" spans="1:12" x14ac:dyDescent="0.25">
      <c r="A66" s="388">
        <v>2</v>
      </c>
      <c r="B66" s="401"/>
      <c r="C66" s="215" t="s">
        <v>285</v>
      </c>
      <c r="D66" s="438">
        <v>1</v>
      </c>
      <c r="E66" s="384"/>
      <c r="F66" s="384"/>
      <c r="G66" s="384"/>
      <c r="H66" s="440"/>
      <c r="I66" s="440"/>
      <c r="J66" s="440"/>
      <c r="K66" s="442"/>
      <c r="L66" s="442"/>
    </row>
    <row r="67" spans="1:12" ht="14.5" x14ac:dyDescent="0.25">
      <c r="A67" s="388">
        <v>3</v>
      </c>
      <c r="B67" s="443"/>
      <c r="C67" s="444" t="s">
        <v>285</v>
      </c>
      <c r="D67" s="438">
        <v>1</v>
      </c>
      <c r="E67" s="384"/>
      <c r="F67" s="384"/>
      <c r="G67" s="384"/>
      <c r="H67" s="440"/>
      <c r="I67" s="440"/>
      <c r="J67" s="440"/>
      <c r="K67" s="442"/>
      <c r="L67" s="442"/>
    </row>
    <row r="68" spans="1:12" ht="13.5" thickBot="1" x14ac:dyDescent="0.3">
      <c r="A68" s="685" t="s">
        <v>381</v>
      </c>
      <c r="B68" s="686"/>
      <c r="C68" s="686"/>
      <c r="D68" s="686"/>
      <c r="E68" s="686"/>
      <c r="F68" s="686"/>
      <c r="G68" s="686"/>
      <c r="H68" s="686"/>
      <c r="I68" s="686"/>
      <c r="J68" s="687"/>
      <c r="K68" s="576">
        <f>SUM(L65:L67)</f>
        <v>408.31666666666661</v>
      </c>
      <c r="L68" s="577"/>
    </row>
    <row r="69" spans="1:12" ht="13.5" thickBot="1" x14ac:dyDescent="0.3">
      <c r="A69" s="184"/>
      <c r="B69" s="184"/>
      <c r="C69" s="184"/>
      <c r="D69" s="184"/>
      <c r="E69" s="184"/>
      <c r="F69" s="184"/>
      <c r="G69" s="184"/>
      <c r="H69" s="184"/>
      <c r="I69" s="184"/>
      <c r="J69" s="184"/>
      <c r="K69" s="228"/>
      <c r="L69" s="228"/>
    </row>
    <row r="70" spans="1:12" ht="13.5" thickBot="1" x14ac:dyDescent="0.35">
      <c r="A70" s="573" t="s">
        <v>382</v>
      </c>
      <c r="B70" s="574"/>
      <c r="C70" s="574"/>
      <c r="D70" s="574"/>
      <c r="E70" s="574"/>
      <c r="F70" s="574"/>
      <c r="G70" s="574"/>
      <c r="H70" s="574"/>
      <c r="I70" s="574"/>
      <c r="J70" s="575"/>
      <c r="K70" s="578">
        <f>(K68*20%)/12</f>
        <v>6.8052777777777775</v>
      </c>
      <c r="L70" s="579"/>
    </row>
  </sheetData>
  <mergeCells count="57">
    <mergeCell ref="B2:D2"/>
    <mergeCell ref="F2:I2"/>
    <mergeCell ref="K2:L2"/>
    <mergeCell ref="B3:D3"/>
    <mergeCell ref="F3:I3"/>
    <mergeCell ref="K3:L3"/>
    <mergeCell ref="B4:D4"/>
    <mergeCell ref="F4:I4"/>
    <mergeCell ref="K4:L4"/>
    <mergeCell ref="B5:D5"/>
    <mergeCell ref="F5:I5"/>
    <mergeCell ref="K5:L5"/>
    <mergeCell ref="K8:L8"/>
    <mergeCell ref="K9:K10"/>
    <mergeCell ref="L9:L10"/>
    <mergeCell ref="B6:D6"/>
    <mergeCell ref="F6:I6"/>
    <mergeCell ref="K6:L6"/>
    <mergeCell ref="B7:D7"/>
    <mergeCell ref="F7:I7"/>
    <mergeCell ref="K7:L7"/>
    <mergeCell ref="A8:A10"/>
    <mergeCell ref="B8:B10"/>
    <mergeCell ref="C8:C10"/>
    <mergeCell ref="D8:D10"/>
    <mergeCell ref="E8:J8"/>
    <mergeCell ref="E62:J62"/>
    <mergeCell ref="A52:L56"/>
    <mergeCell ref="A28:J28"/>
    <mergeCell ref="K28:L28"/>
    <mergeCell ref="A30:J30"/>
    <mergeCell ref="K30:L30"/>
    <mergeCell ref="A47:B50"/>
    <mergeCell ref="C47:C50"/>
    <mergeCell ref="D47:L50"/>
    <mergeCell ref="B35:J35"/>
    <mergeCell ref="B36:J36"/>
    <mergeCell ref="B37:J37"/>
    <mergeCell ref="B38:L38"/>
    <mergeCell ref="B39:J39"/>
    <mergeCell ref="K39:L39"/>
    <mergeCell ref="A70:J70"/>
    <mergeCell ref="K70:L70"/>
    <mergeCell ref="B32:J32"/>
    <mergeCell ref="B33:J33"/>
    <mergeCell ref="B34:J34"/>
    <mergeCell ref="A42:J42"/>
    <mergeCell ref="K42:L42"/>
    <mergeCell ref="K62:L62"/>
    <mergeCell ref="K63:K64"/>
    <mergeCell ref="L63:L64"/>
    <mergeCell ref="A68:J68"/>
    <mergeCell ref="K68:L68"/>
    <mergeCell ref="A62:A64"/>
    <mergeCell ref="B62:B64"/>
    <mergeCell ref="C62:C64"/>
    <mergeCell ref="D62:D64"/>
  </mergeCells>
  <pageMargins left="0.511811024" right="0.511811024" top="0.78740157499999996" bottom="0.78740157499999996" header="0.31496062000000002" footer="0.31496062000000002"/>
  <pageSetup paperSize="9" orientation="landscape" verticalDpi="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2:S91"/>
  <sheetViews>
    <sheetView workbookViewId="0">
      <selection activeCell="B8" sqref="B8"/>
    </sheetView>
  </sheetViews>
  <sheetFormatPr defaultRowHeight="12.5" x14ac:dyDescent="0.25"/>
  <cols>
    <col min="1" max="1" width="11" customWidth="1"/>
    <col min="2" max="2" width="12.26953125" customWidth="1"/>
    <col min="4" max="4" width="11.7265625" customWidth="1"/>
    <col min="5" max="5" width="12.26953125" customWidth="1"/>
    <col min="8" max="8" width="14.1796875" customWidth="1"/>
    <col min="9" max="9" width="14.26953125" customWidth="1"/>
    <col min="10" max="10" width="14" customWidth="1"/>
    <col min="11" max="11" width="13.26953125" customWidth="1"/>
  </cols>
  <sheetData>
    <row r="2" spans="1:8" ht="13" x14ac:dyDescent="0.25">
      <c r="A2" s="67" t="s">
        <v>384</v>
      </c>
    </row>
    <row r="3" spans="1:8" ht="13" thickBot="1" x14ac:dyDescent="0.3">
      <c r="A3" s="50"/>
    </row>
    <row r="4" spans="1:8" ht="13.5" thickBot="1" x14ac:dyDescent="0.35">
      <c r="A4" s="744" t="s">
        <v>385</v>
      </c>
      <c r="B4" s="745"/>
      <c r="C4" s="745"/>
      <c r="D4" s="745"/>
      <c r="E4" s="746"/>
      <c r="H4" s="10" t="s">
        <v>386</v>
      </c>
    </row>
    <row r="5" spans="1:8" ht="13.5" thickBot="1" x14ac:dyDescent="0.3">
      <c r="A5" s="747" t="s">
        <v>387</v>
      </c>
      <c r="B5" s="747"/>
      <c r="C5" s="747"/>
      <c r="D5" s="747"/>
      <c r="E5" s="80" t="s">
        <v>6</v>
      </c>
    </row>
    <row r="6" spans="1:8" ht="13" x14ac:dyDescent="0.25">
      <c r="A6" s="57" t="s">
        <v>388</v>
      </c>
      <c r="B6" s="62"/>
      <c r="C6" s="62"/>
      <c r="D6" s="62"/>
      <c r="E6" s="134">
        <v>88.61</v>
      </c>
      <c r="F6" s="107" t="s">
        <v>389</v>
      </c>
      <c r="G6" s="132">
        <v>0.5</v>
      </c>
      <c r="H6" t="s">
        <v>390</v>
      </c>
    </row>
    <row r="7" spans="1:8" ht="13.5" thickBot="1" x14ac:dyDescent="0.3">
      <c r="A7" s="57" t="s">
        <v>391</v>
      </c>
      <c r="B7" s="62"/>
      <c r="C7" s="62"/>
      <c r="D7" s="62"/>
      <c r="E7" s="135">
        <v>1.35</v>
      </c>
      <c r="G7" s="133">
        <v>0.5</v>
      </c>
      <c r="H7" t="s">
        <v>392</v>
      </c>
    </row>
    <row r="8" spans="1:8" ht="13.5" thickBot="1" x14ac:dyDescent="0.3">
      <c r="A8" s="60" t="s">
        <v>393</v>
      </c>
      <c r="B8" s="61"/>
      <c r="C8" s="61"/>
      <c r="D8" s="61"/>
      <c r="E8" s="136">
        <v>10.039999999999999</v>
      </c>
    </row>
    <row r="9" spans="1:8" ht="13" thickBot="1" x14ac:dyDescent="0.3">
      <c r="A9" s="50"/>
    </row>
    <row r="10" spans="1:8" ht="13.5" thickBot="1" x14ac:dyDescent="0.3">
      <c r="A10" s="744" t="s">
        <v>385</v>
      </c>
      <c r="B10" s="745"/>
      <c r="C10" s="745"/>
      <c r="D10" s="745"/>
      <c r="E10" s="746"/>
    </row>
    <row r="11" spans="1:8" ht="13.5" thickBot="1" x14ac:dyDescent="0.3">
      <c r="A11" s="747" t="s">
        <v>387</v>
      </c>
      <c r="B11" s="747"/>
      <c r="C11" s="747"/>
      <c r="D11" s="747"/>
      <c r="E11" s="80" t="s">
        <v>6</v>
      </c>
    </row>
    <row r="12" spans="1:8" ht="13" x14ac:dyDescent="0.25">
      <c r="A12" s="58" t="s">
        <v>394</v>
      </c>
      <c r="B12" s="59"/>
      <c r="C12" s="59"/>
      <c r="D12" s="59"/>
      <c r="E12" s="137">
        <f>E6*G6</f>
        <v>44.305</v>
      </c>
    </row>
    <row r="13" spans="1:8" ht="13.5" thickBot="1" x14ac:dyDescent="0.3">
      <c r="A13" s="57" t="s">
        <v>395</v>
      </c>
      <c r="B13" s="62"/>
      <c r="C13" s="62"/>
      <c r="D13" s="62"/>
      <c r="E13" s="138">
        <f>E6*G7</f>
        <v>44.305</v>
      </c>
    </row>
    <row r="14" spans="1:8" ht="13" thickBot="1" x14ac:dyDescent="0.3">
      <c r="A14" s="50"/>
    </row>
    <row r="15" spans="1:8" ht="13.5" thickBot="1" x14ac:dyDescent="0.35">
      <c r="A15" s="76" t="s">
        <v>396</v>
      </c>
      <c r="B15" s="77"/>
      <c r="C15" s="140">
        <v>12</v>
      </c>
      <c r="E15" s="76" t="s">
        <v>396</v>
      </c>
      <c r="F15" s="77"/>
      <c r="G15" s="139">
        <v>18</v>
      </c>
      <c r="H15" s="37" t="s">
        <v>397</v>
      </c>
    </row>
    <row r="16" spans="1:8" ht="13" thickBot="1" x14ac:dyDescent="0.3">
      <c r="A16" s="50"/>
      <c r="E16" s="50"/>
    </row>
    <row r="17" spans="1:16" ht="13.5" thickBot="1" x14ac:dyDescent="0.3">
      <c r="A17" s="748" t="s">
        <v>398</v>
      </c>
      <c r="B17" s="749"/>
      <c r="C17" s="750"/>
      <c r="E17" s="748" t="s">
        <v>398</v>
      </c>
      <c r="F17" s="749"/>
      <c r="G17" s="750"/>
    </row>
    <row r="18" spans="1:16" x14ac:dyDescent="0.25">
      <c r="A18" s="68"/>
      <c r="C18" s="69"/>
      <c r="E18" s="68"/>
      <c r="G18" s="69"/>
    </row>
    <row r="19" spans="1:16" ht="13" x14ac:dyDescent="0.3">
      <c r="A19" s="70" t="s">
        <v>2</v>
      </c>
      <c r="C19" s="69"/>
      <c r="E19" s="70" t="s">
        <v>2</v>
      </c>
      <c r="G19" s="69"/>
    </row>
    <row r="20" spans="1:16" x14ac:dyDescent="0.25">
      <c r="A20" s="68" t="s">
        <v>3</v>
      </c>
      <c r="C20" s="71">
        <f>'Limpeza - Item 1'!I45</f>
        <v>1743.69</v>
      </c>
      <c r="E20" s="68" t="s">
        <v>3</v>
      </c>
      <c r="G20" s="71">
        <f>'Limpeza - Item 1'!I45</f>
        <v>1743.69</v>
      </c>
    </row>
    <row r="21" spans="1:16" x14ac:dyDescent="0.25">
      <c r="A21" s="68" t="s">
        <v>399</v>
      </c>
      <c r="C21" s="71">
        <f>'Limpeza - Item 1'!I102</f>
        <v>2258.295309056</v>
      </c>
      <c r="E21" s="68" t="s">
        <v>399</v>
      </c>
      <c r="G21" s="71">
        <f>'Limpeza - Item 1'!I102</f>
        <v>2258.295309056</v>
      </c>
    </row>
    <row r="22" spans="1:16" ht="13" x14ac:dyDescent="0.25">
      <c r="A22" s="68" t="s">
        <v>400</v>
      </c>
      <c r="C22" s="71">
        <f>-'Mód2.2'!C11</f>
        <v>-604.7953891200001</v>
      </c>
      <c r="D22" s="115" t="s">
        <v>401</v>
      </c>
      <c r="E22" s="68" t="s">
        <v>400</v>
      </c>
      <c r="G22" s="71">
        <f>-'Mód2.2'!C11</f>
        <v>-604.7953891200001</v>
      </c>
    </row>
    <row r="23" spans="1:16" ht="13" x14ac:dyDescent="0.3">
      <c r="A23" s="70" t="s">
        <v>5</v>
      </c>
      <c r="C23" s="72">
        <f>SUM(C20:C22)</f>
        <v>3397.189919936</v>
      </c>
      <c r="E23" s="70" t="s">
        <v>5</v>
      </c>
      <c r="G23" s="72">
        <f>SUM(G20:G22)</f>
        <v>3397.189919936</v>
      </c>
    </row>
    <row r="24" spans="1:16" x14ac:dyDescent="0.25">
      <c r="A24" s="68"/>
      <c r="C24" s="69"/>
      <c r="E24" s="68"/>
      <c r="G24" s="69"/>
    </row>
    <row r="25" spans="1:16" ht="13" x14ac:dyDescent="0.3">
      <c r="A25" s="70" t="s">
        <v>396</v>
      </c>
      <c r="C25" s="75">
        <f>C15</f>
        <v>12</v>
      </c>
      <c r="E25" s="70" t="s">
        <v>396</v>
      </c>
      <c r="G25" s="75">
        <f>G15</f>
        <v>18</v>
      </c>
    </row>
    <row r="26" spans="1:16" ht="13" x14ac:dyDescent="0.3">
      <c r="A26" s="70" t="s">
        <v>402</v>
      </c>
      <c r="C26" s="85">
        <f>E12</f>
        <v>44.305</v>
      </c>
      <c r="E26" s="70" t="s">
        <v>402</v>
      </c>
      <c r="G26" s="85">
        <f>E12</f>
        <v>44.305</v>
      </c>
    </row>
    <row r="27" spans="1:16" ht="13" thickBot="1" x14ac:dyDescent="0.3">
      <c r="A27" s="68"/>
      <c r="C27" s="69"/>
      <c r="E27" s="68"/>
      <c r="G27" s="69"/>
    </row>
    <row r="28" spans="1:16" ht="13.5" thickBot="1" x14ac:dyDescent="0.35">
      <c r="A28" s="64" t="s">
        <v>403</v>
      </c>
      <c r="B28" s="65"/>
      <c r="C28" s="79">
        <f>C23/C25*C26%</f>
        <v>125.42708283563707</v>
      </c>
      <c r="E28" s="116" t="s">
        <v>404</v>
      </c>
      <c r="F28" s="65"/>
      <c r="G28" s="79">
        <f>G23/G25*G26%</f>
        <v>83.618055223758049</v>
      </c>
    </row>
    <row r="29" spans="1:16" ht="13" thickBot="1" x14ac:dyDescent="0.3"/>
    <row r="30" spans="1:16" ht="13.5" thickBot="1" x14ac:dyDescent="0.3">
      <c r="A30" s="456" t="s">
        <v>405</v>
      </c>
      <c r="B30" s="457"/>
      <c r="C30" s="457"/>
      <c r="D30" s="457"/>
      <c r="E30" s="457"/>
      <c r="F30" s="457"/>
      <c r="G30" s="458"/>
      <c r="J30" s="456" t="s">
        <v>405</v>
      </c>
      <c r="K30" s="457"/>
      <c r="L30" s="457"/>
      <c r="M30" s="457"/>
      <c r="N30" s="457"/>
      <c r="O30" s="457"/>
      <c r="P30" s="458"/>
    </row>
    <row r="31" spans="1:16" x14ac:dyDescent="0.25">
      <c r="A31" s="68"/>
      <c r="G31" s="69"/>
      <c r="J31" s="68"/>
      <c r="P31" s="69"/>
    </row>
    <row r="32" spans="1:16" ht="13" x14ac:dyDescent="0.3">
      <c r="A32" s="70" t="s">
        <v>2</v>
      </c>
      <c r="G32" s="69"/>
      <c r="J32" s="70" t="s">
        <v>2</v>
      </c>
      <c r="P32" s="69"/>
    </row>
    <row r="33" spans="1:19" x14ac:dyDescent="0.25">
      <c r="A33" s="68" t="s">
        <v>3</v>
      </c>
      <c r="G33" s="71">
        <f>'Limpeza - Item 1'!I45</f>
        <v>1743.69</v>
      </c>
      <c r="J33" s="68" t="s">
        <v>1</v>
      </c>
      <c r="P33" s="71">
        <f>'Mód2.2'!H11</f>
        <v>167.99871920000001</v>
      </c>
    </row>
    <row r="34" spans="1:19" x14ac:dyDescent="0.25">
      <c r="A34" s="68" t="s">
        <v>4</v>
      </c>
      <c r="G34" s="71">
        <f>'Limpeza - Item 1'!I54</f>
        <v>356.29399000000001</v>
      </c>
      <c r="J34" s="68"/>
      <c r="P34" s="71"/>
    </row>
    <row r="35" spans="1:19" ht="13" x14ac:dyDescent="0.3">
      <c r="A35" s="70" t="s">
        <v>5</v>
      </c>
      <c r="G35" s="72">
        <f>SUM(G33:G34)</f>
        <v>2099.9839900000002</v>
      </c>
      <c r="H35" s="758" t="s">
        <v>401</v>
      </c>
      <c r="I35" s="759"/>
      <c r="J35" s="70" t="s">
        <v>5</v>
      </c>
      <c r="P35" s="72">
        <f>SUM(P33:P34)</f>
        <v>167.99871920000001</v>
      </c>
    </row>
    <row r="36" spans="1:19" x14ac:dyDescent="0.25">
      <c r="A36" s="68"/>
      <c r="G36" s="69"/>
      <c r="J36" s="68"/>
      <c r="P36" s="69"/>
    </row>
    <row r="37" spans="1:19" ht="13" x14ac:dyDescent="0.3">
      <c r="A37" s="70" t="s">
        <v>406</v>
      </c>
      <c r="G37" s="73">
        <f>'Limpeza - Item 1'!H74</f>
        <v>0.08</v>
      </c>
      <c r="J37" s="70"/>
      <c r="P37" s="73"/>
    </row>
    <row r="38" spans="1:19" ht="13" x14ac:dyDescent="0.3">
      <c r="A38" s="70" t="s">
        <v>407</v>
      </c>
      <c r="G38" s="73">
        <v>0.4</v>
      </c>
      <c r="J38" s="70" t="s">
        <v>407</v>
      </c>
      <c r="P38" s="73">
        <v>0.4</v>
      </c>
    </row>
    <row r="39" spans="1:19" ht="13" x14ac:dyDescent="0.3">
      <c r="A39" s="70" t="s">
        <v>402</v>
      </c>
      <c r="C39" s="74"/>
      <c r="G39" s="85">
        <f>E12</f>
        <v>44.305</v>
      </c>
      <c r="J39" s="70" t="s">
        <v>402</v>
      </c>
      <c r="L39" s="74"/>
      <c r="P39" s="85">
        <f>E12</f>
        <v>44.305</v>
      </c>
    </row>
    <row r="40" spans="1:19" ht="13" thickBot="1" x14ac:dyDescent="0.3">
      <c r="A40" s="68"/>
      <c r="G40" s="69"/>
      <c r="J40" s="68"/>
      <c r="P40" s="69"/>
    </row>
    <row r="41" spans="1:19" ht="13.5" thickBot="1" x14ac:dyDescent="0.3">
      <c r="A41" s="456" t="s">
        <v>408</v>
      </c>
      <c r="B41" s="457"/>
      <c r="C41" s="457"/>
      <c r="D41" s="457"/>
      <c r="E41" s="457"/>
      <c r="F41" s="457"/>
      <c r="G41" s="79">
        <f>G35*G37*G38*G39%</f>
        <v>29.772733016624002</v>
      </c>
      <c r="J41" s="570" t="s">
        <v>409</v>
      </c>
      <c r="K41" s="757"/>
      <c r="L41" s="757"/>
      <c r="M41" s="757"/>
      <c r="N41" s="757"/>
      <c r="O41" s="757"/>
      <c r="P41" s="79">
        <f>P35*P38*P39%</f>
        <v>29.772733016624002</v>
      </c>
    </row>
    <row r="43" spans="1:19" ht="13" thickBot="1" x14ac:dyDescent="0.3"/>
    <row r="44" spans="1:19" ht="13.5" thickBot="1" x14ac:dyDescent="0.3">
      <c r="A44" s="741" t="s">
        <v>410</v>
      </c>
      <c r="B44" s="742"/>
      <c r="C44" s="743"/>
      <c r="E44" s="741" t="s">
        <v>410</v>
      </c>
      <c r="F44" s="742"/>
      <c r="G44" s="743"/>
    </row>
    <row r="45" spans="1:19" ht="13" x14ac:dyDescent="0.3">
      <c r="A45" s="68"/>
      <c r="C45" s="69"/>
      <c r="E45" s="68"/>
      <c r="G45" s="69"/>
      <c r="J45" s="86" t="s">
        <v>411</v>
      </c>
    </row>
    <row r="46" spans="1:19" ht="13" x14ac:dyDescent="0.3">
      <c r="A46" s="70" t="s">
        <v>2</v>
      </c>
      <c r="C46" s="69"/>
      <c r="E46" s="70" t="s">
        <v>2</v>
      </c>
      <c r="G46" s="69"/>
    </row>
    <row r="47" spans="1:19" ht="12.75" customHeight="1" x14ac:dyDescent="0.25">
      <c r="A47" s="68" t="s">
        <v>3</v>
      </c>
      <c r="C47" s="71">
        <f>'Limpeza - Item 1'!I45</f>
        <v>1743.69</v>
      </c>
      <c r="E47" s="68" t="s">
        <v>3</v>
      </c>
      <c r="G47" s="71">
        <f>'Limpeza - Item 1'!I45</f>
        <v>1743.69</v>
      </c>
      <c r="J47" s="571" t="s">
        <v>412</v>
      </c>
      <c r="K47" s="571"/>
      <c r="L47" s="571"/>
      <c r="M47" s="571"/>
      <c r="N47" s="571"/>
      <c r="O47" s="571"/>
      <c r="P47" s="571"/>
      <c r="Q47" s="571"/>
      <c r="R47" s="571"/>
      <c r="S47" s="571"/>
    </row>
    <row r="48" spans="1:19" ht="13" x14ac:dyDescent="0.25">
      <c r="A48" s="68" t="s">
        <v>399</v>
      </c>
      <c r="C48" s="71">
        <f>'Limpeza - Item 1'!I102</f>
        <v>2258.295309056</v>
      </c>
      <c r="E48" s="68" t="s">
        <v>399</v>
      </c>
      <c r="G48" s="71">
        <f>'Limpeza - Item 1'!I102</f>
        <v>2258.295309056</v>
      </c>
      <c r="H48" s="53"/>
      <c r="I48" s="53"/>
      <c r="J48" s="571"/>
      <c r="K48" s="571"/>
      <c r="L48" s="571"/>
      <c r="M48" s="571"/>
      <c r="N48" s="571"/>
      <c r="O48" s="571"/>
      <c r="P48" s="571"/>
      <c r="Q48" s="571"/>
      <c r="R48" s="571"/>
      <c r="S48" s="571"/>
    </row>
    <row r="49" spans="1:19" ht="13" x14ac:dyDescent="0.3">
      <c r="A49" s="70" t="s">
        <v>5</v>
      </c>
      <c r="C49" s="72">
        <f>SUM(C47:C48)</f>
        <v>4001.985309056</v>
      </c>
      <c r="D49" s="115" t="s">
        <v>401</v>
      </c>
      <c r="E49" s="70" t="s">
        <v>5</v>
      </c>
      <c r="G49" s="72">
        <f>SUM(G47:G48)</f>
        <v>4001.985309056</v>
      </c>
      <c r="H49" s="760" t="s">
        <v>401</v>
      </c>
      <c r="I49" s="760"/>
      <c r="J49" s="571"/>
      <c r="K49" s="571"/>
      <c r="L49" s="571"/>
      <c r="M49" s="571"/>
      <c r="N49" s="571"/>
      <c r="O49" s="571"/>
      <c r="P49" s="571"/>
      <c r="Q49" s="571"/>
      <c r="R49" s="571"/>
      <c r="S49" s="571"/>
    </row>
    <row r="50" spans="1:19" x14ac:dyDescent="0.25">
      <c r="A50" s="68"/>
      <c r="C50" s="69"/>
      <c r="E50" s="68"/>
      <c r="G50" s="69"/>
      <c r="J50" s="571"/>
      <c r="K50" s="571"/>
      <c r="L50" s="571"/>
      <c r="M50" s="571"/>
      <c r="N50" s="571"/>
      <c r="O50" s="571"/>
      <c r="P50" s="571"/>
      <c r="Q50" s="571"/>
      <c r="R50" s="571"/>
      <c r="S50" s="571"/>
    </row>
    <row r="51" spans="1:19" ht="13.5" thickBot="1" x14ac:dyDescent="0.35">
      <c r="A51" s="70" t="s">
        <v>396</v>
      </c>
      <c r="C51" s="75">
        <f>C15</f>
        <v>12</v>
      </c>
      <c r="E51" s="70" t="s">
        <v>396</v>
      </c>
      <c r="G51" s="75">
        <f>G15</f>
        <v>18</v>
      </c>
      <c r="J51" s="571"/>
      <c r="K51" s="571"/>
      <c r="L51" s="571"/>
      <c r="M51" s="571"/>
      <c r="N51" s="571"/>
      <c r="O51" s="571"/>
      <c r="P51" s="571"/>
      <c r="Q51" s="571"/>
      <c r="R51" s="571"/>
      <c r="S51" s="571"/>
    </row>
    <row r="52" spans="1:19" ht="13.5" thickBot="1" x14ac:dyDescent="0.35">
      <c r="A52" s="70" t="s">
        <v>402</v>
      </c>
      <c r="C52" s="85">
        <f>E13</f>
        <v>44.305</v>
      </c>
      <c r="E52" s="70" t="s">
        <v>402</v>
      </c>
      <c r="G52" s="85">
        <f>E13</f>
        <v>44.305</v>
      </c>
      <c r="J52" s="84">
        <f>'Limpeza - Item 1'!I45*1.94%</f>
        <v>33.827586000000004</v>
      </c>
      <c r="M52" s="7"/>
    </row>
    <row r="53" spans="1:19" ht="13" thickBot="1" x14ac:dyDescent="0.3">
      <c r="A53" s="68"/>
      <c r="C53" s="69"/>
      <c r="E53" s="68"/>
      <c r="G53" s="69"/>
    </row>
    <row r="54" spans="1:19" ht="13.5" thickBot="1" x14ac:dyDescent="0.35">
      <c r="A54" s="64" t="s">
        <v>413</v>
      </c>
      <c r="B54" s="65"/>
      <c r="C54" s="79">
        <f>C49/C51*C52%</f>
        <v>147.75663259810506</v>
      </c>
      <c r="E54" s="116" t="s">
        <v>414</v>
      </c>
      <c r="F54" s="65"/>
      <c r="G54" s="79">
        <f>G49/G51*G52%</f>
        <v>98.504421732070043</v>
      </c>
    </row>
    <row r="55" spans="1:19" ht="13" thickBot="1" x14ac:dyDescent="0.3"/>
    <row r="56" spans="1:19" ht="13.5" thickBot="1" x14ac:dyDescent="0.3">
      <c r="A56" s="456" t="s">
        <v>415</v>
      </c>
      <c r="B56" s="457"/>
      <c r="C56" s="457"/>
      <c r="D56" s="457"/>
      <c r="E56" s="457"/>
      <c r="F56" s="457"/>
      <c r="G56" s="458"/>
      <c r="J56" s="456" t="s">
        <v>415</v>
      </c>
      <c r="K56" s="457"/>
      <c r="L56" s="457"/>
      <c r="M56" s="457"/>
      <c r="N56" s="457"/>
      <c r="O56" s="457"/>
      <c r="P56" s="458"/>
    </row>
    <row r="57" spans="1:19" x14ac:dyDescent="0.25">
      <c r="A57" s="68"/>
      <c r="G57" s="69"/>
      <c r="J57" s="68"/>
      <c r="P57" s="69"/>
    </row>
    <row r="58" spans="1:19" ht="13" x14ac:dyDescent="0.3">
      <c r="A58" s="70" t="s">
        <v>2</v>
      </c>
      <c r="G58" s="69"/>
      <c r="J58" s="70" t="s">
        <v>2</v>
      </c>
      <c r="P58" s="69"/>
    </row>
    <row r="59" spans="1:19" x14ac:dyDescent="0.25">
      <c r="A59" s="68" t="s">
        <v>3</v>
      </c>
      <c r="G59" s="71">
        <f>'Limpeza - Item 1'!I45</f>
        <v>1743.69</v>
      </c>
      <c r="J59" s="68" t="s">
        <v>1</v>
      </c>
      <c r="P59" s="71">
        <f>'Mód2.2'!H11</f>
        <v>167.99871920000001</v>
      </c>
    </row>
    <row r="60" spans="1:19" x14ac:dyDescent="0.25">
      <c r="A60" s="68" t="s">
        <v>4</v>
      </c>
      <c r="G60" s="71">
        <f>'Limpeza - Item 1'!I54</f>
        <v>356.29399000000001</v>
      </c>
      <c r="J60" s="68"/>
      <c r="P60" s="71"/>
    </row>
    <row r="61" spans="1:19" ht="13" x14ac:dyDescent="0.3">
      <c r="A61" s="70" t="s">
        <v>5</v>
      </c>
      <c r="G61" s="72">
        <f>SUM(G59:G60)</f>
        <v>2099.9839900000002</v>
      </c>
      <c r="J61" s="70" t="s">
        <v>5</v>
      </c>
      <c r="P61" s="72">
        <f>SUM(P59:P60)</f>
        <v>167.99871920000001</v>
      </c>
    </row>
    <row r="62" spans="1:19" ht="13" x14ac:dyDescent="0.25">
      <c r="A62" s="68"/>
      <c r="G62" s="69"/>
      <c r="H62" s="758" t="s">
        <v>401</v>
      </c>
      <c r="I62" s="759"/>
      <c r="J62" s="68"/>
      <c r="P62" s="69"/>
    </row>
    <row r="63" spans="1:19" ht="13" x14ac:dyDescent="0.3">
      <c r="A63" s="70" t="s">
        <v>406</v>
      </c>
      <c r="G63" s="73">
        <f>'Limpeza - Item 1'!H74</f>
        <v>0.08</v>
      </c>
      <c r="J63" s="70"/>
      <c r="P63" s="73"/>
    </row>
    <row r="64" spans="1:19" ht="13" x14ac:dyDescent="0.3">
      <c r="A64" s="70" t="s">
        <v>407</v>
      </c>
      <c r="G64" s="73">
        <v>0.4</v>
      </c>
      <c r="J64" s="70" t="s">
        <v>407</v>
      </c>
      <c r="P64" s="73">
        <v>0.4</v>
      </c>
    </row>
    <row r="65" spans="1:16" ht="13" x14ac:dyDescent="0.3">
      <c r="A65" s="70" t="s">
        <v>402</v>
      </c>
      <c r="C65" s="74"/>
      <c r="G65" s="85">
        <f>E13</f>
        <v>44.305</v>
      </c>
      <c r="J65" s="70" t="s">
        <v>402</v>
      </c>
      <c r="L65" s="74"/>
      <c r="P65" s="85">
        <f>E13</f>
        <v>44.305</v>
      </c>
    </row>
    <row r="66" spans="1:16" ht="13" thickBot="1" x14ac:dyDescent="0.3">
      <c r="A66" s="68"/>
      <c r="G66" s="69"/>
      <c r="J66" s="68"/>
      <c r="P66" s="69"/>
    </row>
    <row r="67" spans="1:16" ht="13.5" thickBot="1" x14ac:dyDescent="0.3">
      <c r="A67" s="456" t="s">
        <v>416</v>
      </c>
      <c r="B67" s="457"/>
      <c r="C67" s="457"/>
      <c r="D67" s="457"/>
      <c r="E67" s="457"/>
      <c r="F67" s="457"/>
      <c r="G67" s="79">
        <f>G61*G63*G64*G65%</f>
        <v>29.772733016624002</v>
      </c>
      <c r="J67" s="570" t="s">
        <v>417</v>
      </c>
      <c r="K67" s="757"/>
      <c r="L67" s="757"/>
      <c r="M67" s="757"/>
      <c r="N67" s="757"/>
      <c r="O67" s="757"/>
      <c r="P67" s="79">
        <f>P61*P64*P65%</f>
        <v>29.772733016624002</v>
      </c>
    </row>
    <row r="70" spans="1:16" ht="13" thickBot="1" x14ac:dyDescent="0.3"/>
    <row r="71" spans="1:16" ht="13.5" thickBot="1" x14ac:dyDescent="0.3">
      <c r="A71" s="456" t="s">
        <v>418</v>
      </c>
      <c r="B71" s="457"/>
      <c r="C71" s="457"/>
      <c r="D71" s="457"/>
      <c r="E71" s="457"/>
      <c r="F71" s="457"/>
      <c r="G71" s="458"/>
    </row>
    <row r="72" spans="1:16" x14ac:dyDescent="0.25">
      <c r="A72" s="96"/>
      <c r="B72" s="97"/>
      <c r="C72" s="97"/>
      <c r="D72" s="97"/>
      <c r="E72" s="97"/>
      <c r="F72" s="97"/>
      <c r="G72" s="98"/>
    </row>
    <row r="73" spans="1:16" ht="13" x14ac:dyDescent="0.3">
      <c r="A73" s="70" t="s">
        <v>2</v>
      </c>
      <c r="G73" s="69"/>
    </row>
    <row r="74" spans="1:16" x14ac:dyDescent="0.25">
      <c r="A74" s="68" t="s">
        <v>419</v>
      </c>
      <c r="G74" s="71">
        <f>-'Limpeza - Item 1'!I54</f>
        <v>-356.29399000000001</v>
      </c>
    </row>
    <row r="75" spans="1:16" x14ac:dyDescent="0.25">
      <c r="A75" s="68"/>
      <c r="G75" s="69"/>
    </row>
    <row r="76" spans="1:16" ht="13" x14ac:dyDescent="0.3">
      <c r="A76" s="70" t="s">
        <v>402</v>
      </c>
      <c r="G76" s="108">
        <f>E7</f>
        <v>1.35</v>
      </c>
    </row>
    <row r="77" spans="1:16" ht="13" thickBot="1" x14ac:dyDescent="0.3">
      <c r="A77" s="99"/>
      <c r="B77" s="100"/>
      <c r="C77" s="100"/>
      <c r="D77" s="100"/>
      <c r="E77" s="100"/>
      <c r="F77" s="100"/>
      <c r="G77" s="101"/>
    </row>
    <row r="78" spans="1:16" ht="13.5" thickBot="1" x14ac:dyDescent="0.3">
      <c r="A78" s="456" t="s">
        <v>420</v>
      </c>
      <c r="B78" s="457"/>
      <c r="C78" s="457"/>
      <c r="D78" s="457"/>
      <c r="E78" s="457"/>
      <c r="F78" s="457"/>
      <c r="G78" s="79">
        <f>G74*G76%</f>
        <v>-4.809968865000001</v>
      </c>
    </row>
    <row r="80" spans="1:16" ht="13" thickBot="1" x14ac:dyDescent="0.3"/>
    <row r="81" spans="2:11" ht="13.5" thickBot="1" x14ac:dyDescent="0.35">
      <c r="B81" s="754" t="s">
        <v>421</v>
      </c>
      <c r="C81" s="755"/>
      <c r="D81" s="755"/>
      <c r="E81" s="755"/>
      <c r="F81" s="755"/>
      <c r="G81" s="755"/>
      <c r="H81" s="755"/>
      <c r="I81" s="755"/>
      <c r="J81" s="755"/>
      <c r="K81" s="756"/>
    </row>
    <row r="82" spans="2:11" ht="13" x14ac:dyDescent="0.25">
      <c r="B82" s="96"/>
      <c r="C82" s="97"/>
      <c r="D82" s="97"/>
      <c r="E82" s="97"/>
      <c r="F82" s="97"/>
      <c r="G82" s="98"/>
      <c r="H82" s="109" t="s">
        <v>422</v>
      </c>
      <c r="I82" s="109" t="s">
        <v>423</v>
      </c>
      <c r="J82" s="109" t="s">
        <v>424</v>
      </c>
      <c r="K82" s="109" t="s">
        <v>425</v>
      </c>
    </row>
    <row r="83" spans="2:11" ht="13.5" thickBot="1" x14ac:dyDescent="0.3">
      <c r="B83" s="751" t="s">
        <v>426</v>
      </c>
      <c r="C83" s="752"/>
      <c r="D83" s="752"/>
      <c r="E83" s="752"/>
      <c r="F83" s="752"/>
      <c r="G83" s="753"/>
      <c r="H83" s="112" t="s">
        <v>427</v>
      </c>
      <c r="I83" s="112" t="s">
        <v>428</v>
      </c>
      <c r="J83" s="112"/>
      <c r="K83" s="112" t="s">
        <v>429</v>
      </c>
    </row>
    <row r="84" spans="2:11" x14ac:dyDescent="0.25">
      <c r="B84" s="96"/>
      <c r="C84" s="97"/>
      <c r="D84" s="97"/>
      <c r="E84" s="97"/>
      <c r="F84" s="97"/>
      <c r="G84" s="98"/>
      <c r="H84" s="110"/>
      <c r="I84" s="110"/>
      <c r="J84" s="110"/>
      <c r="K84" s="110"/>
    </row>
    <row r="85" spans="2:11" x14ac:dyDescent="0.25">
      <c r="B85" s="68" t="str">
        <f>A28</f>
        <v>VALOR AP INDENIZADO</v>
      </c>
      <c r="G85" s="69"/>
      <c r="H85" s="111">
        <f>C28</f>
        <v>125.42708283563707</v>
      </c>
      <c r="I85" s="110"/>
      <c r="J85" s="110"/>
      <c r="K85" s="111">
        <f>G28</f>
        <v>83.618055223758049</v>
      </c>
    </row>
    <row r="86" spans="2:11" x14ac:dyDescent="0.25">
      <c r="B86" s="68" t="str">
        <f>A41</f>
        <v>VALOR MULTA FGTS E CONTRIBUIÇÃO SOCIAL NO AP INDENIZADO</v>
      </c>
      <c r="G86" s="69"/>
      <c r="H86" s="111">
        <f>G41</f>
        <v>29.772733016624002</v>
      </c>
      <c r="I86" s="110"/>
      <c r="J86" s="110"/>
      <c r="K86" s="111">
        <f>G41</f>
        <v>29.772733016624002</v>
      </c>
    </row>
    <row r="87" spans="2:11" x14ac:dyDescent="0.25">
      <c r="B87" s="68" t="str">
        <f>A54</f>
        <v>VALOR AP TRABALHADO</v>
      </c>
      <c r="G87" s="69"/>
      <c r="H87" s="111">
        <f>C54</f>
        <v>147.75663259810506</v>
      </c>
      <c r="I87" s="111">
        <f>J52</f>
        <v>33.827586000000004</v>
      </c>
      <c r="J87" s="110"/>
      <c r="K87" s="111">
        <f>G54</f>
        <v>98.504421732070043</v>
      </c>
    </row>
    <row r="88" spans="2:11" x14ac:dyDescent="0.25">
      <c r="B88" s="68" t="str">
        <f>A67</f>
        <v>VALOR MULTA FGTS E CONTRIBUIÇÃO SOCIAL NO AP TRABALHADO</v>
      </c>
      <c r="G88" s="69"/>
      <c r="H88" s="111">
        <f>G67</f>
        <v>29.772733016624002</v>
      </c>
      <c r="I88" s="110"/>
      <c r="J88" s="110"/>
      <c r="K88" s="111">
        <f>G67</f>
        <v>29.772733016624002</v>
      </c>
    </row>
    <row r="89" spans="2:11" x14ac:dyDescent="0.25">
      <c r="B89" s="68" t="str">
        <f>A78</f>
        <v>VALOR DEMISSÃO POR JUSTA CAUSA</v>
      </c>
      <c r="G89" s="69"/>
      <c r="H89" s="111">
        <f>G78</f>
        <v>-4.809968865000001</v>
      </c>
      <c r="I89" s="110"/>
      <c r="J89" s="110"/>
      <c r="K89" s="110"/>
    </row>
    <row r="90" spans="2:11" ht="13" thickBot="1" x14ac:dyDescent="0.3">
      <c r="B90" s="99"/>
      <c r="C90" s="100"/>
      <c r="D90" s="100"/>
      <c r="E90" s="100"/>
      <c r="F90" s="100"/>
      <c r="G90" s="101"/>
      <c r="H90" s="110"/>
      <c r="I90" s="110"/>
      <c r="J90" s="110"/>
      <c r="K90" s="110"/>
    </row>
    <row r="91" spans="2:11" ht="13.5" thickBot="1" x14ac:dyDescent="0.35">
      <c r="B91" s="76" t="s">
        <v>430</v>
      </c>
      <c r="C91" s="89"/>
      <c r="D91" s="89"/>
      <c r="E91" s="89"/>
      <c r="F91" s="89"/>
      <c r="G91" s="89"/>
      <c r="H91" s="113">
        <f>SUM(H85:H90)</f>
        <v>327.91921260199013</v>
      </c>
      <c r="I91" s="117">
        <f>SUM(I85:I90)</f>
        <v>33.827586000000004</v>
      </c>
      <c r="J91" s="114">
        <f>SUM(J85:J90)</f>
        <v>0</v>
      </c>
      <c r="K91" s="117">
        <f>SUM(K85:K90)</f>
        <v>241.6679429890761</v>
      </c>
    </row>
  </sheetData>
  <mergeCells count="24">
    <mergeCell ref="B83:G83"/>
    <mergeCell ref="E17:G17"/>
    <mergeCell ref="E44:G44"/>
    <mergeCell ref="B81:K81"/>
    <mergeCell ref="J67:O67"/>
    <mergeCell ref="H62:I62"/>
    <mergeCell ref="A71:G71"/>
    <mergeCell ref="A78:F78"/>
    <mergeCell ref="H49:I49"/>
    <mergeCell ref="J30:P30"/>
    <mergeCell ref="J41:O41"/>
    <mergeCell ref="H35:I35"/>
    <mergeCell ref="J56:P56"/>
    <mergeCell ref="A30:G30"/>
    <mergeCell ref="A41:F41"/>
    <mergeCell ref="J47:S51"/>
    <mergeCell ref="A44:C44"/>
    <mergeCell ref="A56:G56"/>
    <mergeCell ref="A67:F67"/>
    <mergeCell ref="A4:E4"/>
    <mergeCell ref="A5:D5"/>
    <mergeCell ref="A10:E10"/>
    <mergeCell ref="A11:D11"/>
    <mergeCell ref="A17:C17"/>
  </mergeCells>
  <pageMargins left="0.511811024" right="0.511811024" top="0.78740157499999996" bottom="0.78740157499999996" header="0.31496062000000002" footer="0.3149606200000000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8"/>
  <sheetViews>
    <sheetView workbookViewId="0">
      <selection activeCell="I8" sqref="I8"/>
    </sheetView>
  </sheetViews>
  <sheetFormatPr defaultRowHeight="12.5" x14ac:dyDescent="0.25"/>
  <cols>
    <col min="1" max="1" width="4.81640625" customWidth="1"/>
    <col min="7" max="7" width="21" customWidth="1"/>
    <col min="8" max="8" width="27.54296875" customWidth="1"/>
  </cols>
  <sheetData>
    <row r="1" spans="1:9" ht="13" x14ac:dyDescent="0.3">
      <c r="A1" s="11" t="s">
        <v>431</v>
      </c>
      <c r="B1" s="761" t="s">
        <v>432</v>
      </c>
      <c r="C1" s="761"/>
      <c r="D1" s="761"/>
      <c r="E1" s="761"/>
      <c r="F1" s="761"/>
      <c r="G1" s="761"/>
      <c r="H1" s="12">
        <f>'Limpeza - Item 1'!H155+'Limpeza - Item 1'!H156+'Limpeza - Item 1'!H157</f>
        <v>0.14250000000000002</v>
      </c>
      <c r="I1" s="13"/>
    </row>
    <row r="2" spans="1:9" ht="13" x14ac:dyDescent="0.3">
      <c r="A2" s="14"/>
      <c r="B2" s="762">
        <v>100</v>
      </c>
      <c r="C2" s="762"/>
      <c r="D2" s="762"/>
      <c r="E2" s="762"/>
      <c r="F2" s="762"/>
      <c r="G2" s="762"/>
      <c r="H2" s="15"/>
      <c r="I2" s="16"/>
    </row>
    <row r="3" spans="1:9" ht="13" x14ac:dyDescent="0.3">
      <c r="A3" s="17"/>
      <c r="B3" s="35"/>
      <c r="C3" s="35"/>
      <c r="D3" s="35"/>
      <c r="E3" s="35"/>
      <c r="F3" s="35"/>
      <c r="G3" s="35"/>
      <c r="H3" s="15"/>
      <c r="I3" s="16"/>
    </row>
    <row r="4" spans="1:9" ht="13" x14ac:dyDescent="0.3">
      <c r="A4" s="14" t="s">
        <v>433</v>
      </c>
      <c r="B4" s="762" t="s">
        <v>434</v>
      </c>
      <c r="C4" s="762"/>
      <c r="D4" s="762"/>
      <c r="E4" s="762"/>
      <c r="F4" s="762"/>
      <c r="G4" s="762"/>
      <c r="H4" s="15"/>
      <c r="I4" s="16">
        <f>'Limpeza - Item 1'!I152+'Limpeza - Item 1'!I153+'Limpeza - Item 1'!I170</f>
        <v>7334.2978169824528</v>
      </c>
    </row>
    <row r="5" spans="1:9" ht="13" x14ac:dyDescent="0.3">
      <c r="A5" s="14"/>
      <c r="B5" s="35"/>
      <c r="C5" s="35"/>
      <c r="D5" s="35"/>
      <c r="E5" s="35"/>
      <c r="F5" s="35"/>
      <c r="G5" s="35"/>
      <c r="H5" s="15"/>
      <c r="I5" s="16"/>
    </row>
    <row r="6" spans="1:9" ht="13" x14ac:dyDescent="0.3">
      <c r="A6" s="14" t="s">
        <v>435</v>
      </c>
      <c r="B6" s="762" t="s">
        <v>436</v>
      </c>
      <c r="C6" s="762"/>
      <c r="D6" s="762"/>
      <c r="E6" s="762"/>
      <c r="F6" s="762"/>
      <c r="G6" s="762"/>
      <c r="H6" s="15"/>
      <c r="I6" s="16">
        <f>I4/(1-H1)</f>
        <v>8553.1169877346401</v>
      </c>
    </row>
    <row r="7" spans="1:9" ht="13" x14ac:dyDescent="0.3">
      <c r="A7" s="14"/>
      <c r="B7" s="35"/>
      <c r="C7" s="35"/>
      <c r="D7" s="35"/>
      <c r="E7" s="35"/>
      <c r="F7" s="35"/>
      <c r="G7" s="35"/>
      <c r="H7" s="15"/>
      <c r="I7" s="16"/>
    </row>
    <row r="8" spans="1:9" ht="13" x14ac:dyDescent="0.3">
      <c r="A8" s="18"/>
      <c r="B8" s="763" t="s">
        <v>437</v>
      </c>
      <c r="C8" s="763"/>
      <c r="D8" s="763"/>
      <c r="E8" s="763"/>
      <c r="F8" s="763"/>
      <c r="G8" s="763"/>
      <c r="H8" s="19"/>
      <c r="I8" s="20">
        <f>I6-I4</f>
        <v>1218.8191707521873</v>
      </c>
    </row>
  </sheetData>
  <mergeCells count="5">
    <mergeCell ref="B1:G1"/>
    <mergeCell ref="B2:G2"/>
    <mergeCell ref="B4:G4"/>
    <mergeCell ref="B6:G6"/>
    <mergeCell ref="B8:G8"/>
  </mergeCells>
  <pageMargins left="0.511811024" right="0.511811024" top="0.78740157499999996" bottom="0.78740157499999996" header="0.31496062000000002" footer="0.3149606200000000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Q67"/>
  <sheetViews>
    <sheetView topLeftCell="A10" zoomScale="130" zoomScaleNormal="130" workbookViewId="0">
      <selection activeCell="A9" sqref="A9"/>
    </sheetView>
  </sheetViews>
  <sheetFormatPr defaultRowHeight="12.5" x14ac:dyDescent="0.25"/>
  <cols>
    <col min="1" max="1" width="9.81640625" customWidth="1"/>
    <col min="2" max="2" width="10.81640625" customWidth="1"/>
    <col min="3" max="3" width="15.1796875" customWidth="1"/>
    <col min="4" max="4" width="9.54296875" bestFit="1" customWidth="1"/>
    <col min="7" max="7" width="3.453125" customWidth="1"/>
    <col min="8" max="8" width="3" customWidth="1"/>
    <col min="9" max="9" width="10.54296875" customWidth="1"/>
  </cols>
  <sheetData>
    <row r="1" spans="1:16" ht="13.5" thickBot="1" x14ac:dyDescent="0.3">
      <c r="A1" s="456" t="s">
        <v>438</v>
      </c>
      <c r="B1" s="457"/>
      <c r="C1" s="457"/>
      <c r="D1" s="457"/>
      <c r="E1" s="457"/>
      <c r="F1" s="457"/>
      <c r="G1" s="457"/>
      <c r="H1" s="457"/>
      <c r="I1" s="458"/>
    </row>
    <row r="3" spans="1:16" ht="13" x14ac:dyDescent="0.3">
      <c r="A3" s="81" t="s">
        <v>439</v>
      </c>
    </row>
    <row r="5" spans="1:16" ht="13" x14ac:dyDescent="0.3">
      <c r="A5" s="10" t="s">
        <v>2</v>
      </c>
      <c r="B5" s="10"/>
    </row>
    <row r="7" spans="1:16" x14ac:dyDescent="0.25">
      <c r="A7" t="s">
        <v>440</v>
      </c>
      <c r="D7" s="7">
        <f>'Limpeza - Item 1'!I45</f>
        <v>1743.69</v>
      </c>
    </row>
    <row r="8" spans="1:16" x14ac:dyDescent="0.25">
      <c r="A8" t="s">
        <v>441</v>
      </c>
      <c r="D8" s="7">
        <f>'Limpeza - Item 1'!I102</f>
        <v>2258.295309056</v>
      </c>
    </row>
    <row r="9" spans="1:16" x14ac:dyDescent="0.25">
      <c r="A9" t="s">
        <v>442</v>
      </c>
      <c r="D9" s="7">
        <f>'Limpeza - Item 1'!I112</f>
        <v>123.93311548800001</v>
      </c>
    </row>
    <row r="10" spans="1:16" x14ac:dyDescent="0.25">
      <c r="D10" s="7"/>
    </row>
    <row r="11" spans="1:16" ht="13" x14ac:dyDescent="0.3">
      <c r="A11" s="10" t="s">
        <v>443</v>
      </c>
      <c r="B11" s="10"/>
      <c r="C11" s="10"/>
      <c r="D11" s="4">
        <f>SUM(D7:D10)</f>
        <v>4125.9184245440001</v>
      </c>
    </row>
    <row r="12" spans="1:16" ht="13" thickBot="1" x14ac:dyDescent="0.3"/>
    <row r="13" spans="1:16" ht="13" thickBot="1" x14ac:dyDescent="0.3">
      <c r="A13" s="83" t="s">
        <v>444</v>
      </c>
      <c r="B13" s="77"/>
      <c r="C13" s="77"/>
      <c r="D13" s="78">
        <v>30</v>
      </c>
      <c r="F13" s="764"/>
      <c r="G13" s="764"/>
      <c r="H13" s="764"/>
      <c r="I13" s="764"/>
      <c r="J13" s="764"/>
      <c r="K13" s="764"/>
      <c r="L13" s="764"/>
      <c r="M13" s="764"/>
    </row>
    <row r="14" spans="1:16" ht="13" thickBot="1" x14ac:dyDescent="0.3"/>
    <row r="15" spans="1:16" ht="13.5" thickBot="1" x14ac:dyDescent="0.35">
      <c r="A15" s="64" t="s">
        <v>445</v>
      </c>
      <c r="B15" s="82"/>
      <c r="C15" s="82"/>
      <c r="D15" s="66">
        <f>D11/D13</f>
        <v>137.53061415146666</v>
      </c>
      <c r="P15" s="10" t="s">
        <v>386</v>
      </c>
    </row>
    <row r="16" spans="1:16" ht="13" thickBot="1" x14ac:dyDescent="0.3"/>
    <row r="17" spans="1:17" ht="13.5" thickBot="1" x14ac:dyDescent="0.3">
      <c r="A17" s="83" t="s">
        <v>446</v>
      </c>
      <c r="B17" s="77"/>
      <c r="C17" s="77"/>
      <c r="D17" s="77"/>
      <c r="E17" s="77"/>
      <c r="F17" s="77"/>
      <c r="G17" s="77"/>
      <c r="H17" s="77"/>
      <c r="I17" s="158">
        <f>P17</f>
        <v>20.9589</v>
      </c>
      <c r="P17" s="141">
        <v>20.9589</v>
      </c>
      <c r="Q17" t="s">
        <v>447</v>
      </c>
    </row>
    <row r="18" spans="1:17" ht="13" thickBot="1" x14ac:dyDescent="0.3">
      <c r="P18" s="142">
        <v>1</v>
      </c>
      <c r="Q18" t="s">
        <v>448</v>
      </c>
    </row>
    <row r="19" spans="1:17" ht="13.5" thickBot="1" x14ac:dyDescent="0.3">
      <c r="A19" s="83" t="s">
        <v>449</v>
      </c>
      <c r="B19" s="77"/>
      <c r="C19" s="77"/>
      <c r="D19" s="77"/>
      <c r="E19" s="77"/>
      <c r="F19" s="77"/>
      <c r="G19" s="77"/>
      <c r="H19" s="77"/>
      <c r="I19" s="158">
        <f>P18+SUM(P21:P26)+P29</f>
        <v>4.8740000000000006</v>
      </c>
      <c r="P19" s="142">
        <v>0</v>
      </c>
      <c r="Q19" t="s">
        <v>450</v>
      </c>
    </row>
    <row r="20" spans="1:17" ht="13.5" thickBot="1" x14ac:dyDescent="0.3">
      <c r="P20" s="143">
        <v>0.96589999999999998</v>
      </c>
      <c r="Q20" t="s">
        <v>451</v>
      </c>
    </row>
    <row r="21" spans="1:17" ht="13.5" thickBot="1" x14ac:dyDescent="0.3">
      <c r="A21" s="83" t="s">
        <v>452</v>
      </c>
      <c r="B21" s="77"/>
      <c r="C21" s="77"/>
      <c r="D21" s="77"/>
      <c r="E21" s="77"/>
      <c r="F21" s="77"/>
      <c r="G21" s="77"/>
      <c r="H21" s="77"/>
      <c r="I21" s="158">
        <f>P27</f>
        <v>0.19969999999999999</v>
      </c>
      <c r="P21" s="142">
        <v>3.4931999999999999</v>
      </c>
      <c r="Q21" t="s">
        <v>453</v>
      </c>
    </row>
    <row r="22" spans="1:17" ht="13" thickBot="1" x14ac:dyDescent="0.3">
      <c r="P22" s="142">
        <v>0.26879999999999998</v>
      </c>
      <c r="Q22" t="s">
        <v>454</v>
      </c>
    </row>
    <row r="23" spans="1:17" ht="13.5" thickBot="1" x14ac:dyDescent="0.3">
      <c r="A23" s="83" t="s">
        <v>455</v>
      </c>
      <c r="B23" s="77"/>
      <c r="C23" s="77"/>
      <c r="D23" s="77"/>
      <c r="E23" s="77"/>
      <c r="F23" s="77"/>
      <c r="G23" s="77"/>
      <c r="H23" s="77"/>
      <c r="I23" s="158">
        <f>P20</f>
        <v>0.96589999999999998</v>
      </c>
      <c r="P23" s="142">
        <v>4.2700000000000002E-2</v>
      </c>
      <c r="Q23" t="s">
        <v>456</v>
      </c>
    </row>
    <row r="24" spans="1:17" ht="13" thickBot="1" x14ac:dyDescent="0.3">
      <c r="P24" s="142">
        <v>3.5499999999999997E-2</v>
      </c>
      <c r="Q24" t="s">
        <v>457</v>
      </c>
    </row>
    <row r="25" spans="1:17" ht="13.5" thickBot="1" x14ac:dyDescent="0.3">
      <c r="A25" s="83" t="s">
        <v>458</v>
      </c>
      <c r="B25" s="77"/>
      <c r="C25" s="77"/>
      <c r="D25" s="77"/>
      <c r="E25" s="77"/>
      <c r="F25" s="77"/>
      <c r="G25" s="77"/>
      <c r="H25" s="77"/>
      <c r="I25" s="158">
        <f>P28</f>
        <v>2.4752999999999998</v>
      </c>
      <c r="P25" s="142">
        <v>0.02</v>
      </c>
      <c r="Q25" t="s">
        <v>459</v>
      </c>
    </row>
    <row r="26" spans="1:17" ht="13" thickBot="1" x14ac:dyDescent="0.3">
      <c r="P26" s="142">
        <v>4.0000000000000001E-3</v>
      </c>
      <c r="Q26" t="s">
        <v>460</v>
      </c>
    </row>
    <row r="27" spans="1:17" ht="13.5" thickBot="1" x14ac:dyDescent="0.3">
      <c r="I27" s="83" t="s">
        <v>461</v>
      </c>
      <c r="J27" s="119">
        <f>SUM(I17:I25)</f>
        <v>29.473800000000004</v>
      </c>
      <c r="P27" s="143">
        <v>0.19969999999999999</v>
      </c>
      <c r="Q27" t="s">
        <v>462</v>
      </c>
    </row>
    <row r="28" spans="1:17" ht="13.5" thickBot="1" x14ac:dyDescent="0.3">
      <c r="A28" s="83" t="s">
        <v>463</v>
      </c>
      <c r="B28" s="77"/>
      <c r="C28" s="77"/>
      <c r="D28" s="77"/>
      <c r="E28" s="79">
        <f>D15*I17/12</f>
        <v>240.2075324115979</v>
      </c>
      <c r="P28" s="143">
        <v>2.4752999999999998</v>
      </c>
      <c r="Q28" t="s">
        <v>464</v>
      </c>
    </row>
    <row r="29" spans="1:17" ht="13" thickBot="1" x14ac:dyDescent="0.3">
      <c r="P29" s="144">
        <v>9.7999999999999997E-3</v>
      </c>
      <c r="Q29" t="s">
        <v>465</v>
      </c>
    </row>
    <row r="30" spans="1:17" ht="13.5" thickBot="1" x14ac:dyDescent="0.3">
      <c r="A30" s="83" t="s">
        <v>466</v>
      </c>
      <c r="B30" s="77"/>
      <c r="C30" s="77"/>
      <c r="D30" s="77"/>
      <c r="E30" s="79">
        <f>D15*I19/12</f>
        <v>55.860351114520718</v>
      </c>
    </row>
    <row r="31" spans="1:17" ht="13.5" thickBot="1" x14ac:dyDescent="0.35">
      <c r="P31" s="145">
        <f>SUM(P17:P29)</f>
        <v>29.473799999999997</v>
      </c>
      <c r="Q31" s="37" t="s">
        <v>467</v>
      </c>
    </row>
    <row r="32" spans="1:17" ht="13.5" thickBot="1" x14ac:dyDescent="0.3">
      <c r="A32" s="83" t="s">
        <v>468</v>
      </c>
      <c r="B32" s="77"/>
      <c r="C32" s="77"/>
      <c r="D32" s="77"/>
      <c r="E32" s="79">
        <f>D15*I21/12</f>
        <v>2.2887386371706575</v>
      </c>
    </row>
    <row r="33" spans="1:16" ht="13" thickBot="1" x14ac:dyDescent="0.3"/>
    <row r="34" spans="1:16" ht="13.5" thickBot="1" x14ac:dyDescent="0.3">
      <c r="A34" s="83" t="s">
        <v>469</v>
      </c>
      <c r="B34" s="77"/>
      <c r="C34" s="77"/>
      <c r="D34" s="77"/>
      <c r="E34" s="79">
        <f>D15*I23/12</f>
        <v>11.070068350741805</v>
      </c>
      <c r="P34" s="118"/>
    </row>
    <row r="35" spans="1:16" ht="13" thickBot="1" x14ac:dyDescent="0.3"/>
    <row r="36" spans="1:16" ht="13.5" thickBot="1" x14ac:dyDescent="0.3">
      <c r="A36" s="83" t="s">
        <v>470</v>
      </c>
      <c r="B36" s="77"/>
      <c r="C36" s="77"/>
      <c r="D36" s="77"/>
      <c r="E36" s="79">
        <f>D15*I25/12</f>
        <v>28.369127434093784</v>
      </c>
    </row>
    <row r="37" spans="1:16" ht="13" thickBot="1" x14ac:dyDescent="0.3"/>
    <row r="38" spans="1:16" ht="13.5" thickBot="1" x14ac:dyDescent="0.3">
      <c r="C38" s="765" t="s">
        <v>471</v>
      </c>
      <c r="D38" s="766"/>
      <c r="E38" s="766"/>
      <c r="F38" s="766"/>
      <c r="G38" s="766"/>
      <c r="H38" s="766"/>
      <c r="I38" s="767"/>
      <c r="J38" s="79">
        <f>SUM(E28:E36)</f>
        <v>337.79581794812486</v>
      </c>
    </row>
    <row r="41" spans="1:16" ht="13" thickBot="1" x14ac:dyDescent="0.3"/>
    <row r="42" spans="1:16" ht="13.5" thickBot="1" x14ac:dyDescent="0.3">
      <c r="A42" s="768" t="s">
        <v>472</v>
      </c>
      <c r="B42" s="769"/>
      <c r="C42" s="769"/>
      <c r="D42" s="770"/>
      <c r="E42" s="146"/>
      <c r="F42" s="146"/>
      <c r="G42" s="146"/>
      <c r="H42" s="53"/>
      <c r="I42" s="53"/>
    </row>
    <row r="43" spans="1:16" x14ac:dyDescent="0.25">
      <c r="A43" s="147"/>
      <c r="B43" s="147"/>
      <c r="C43" s="147"/>
      <c r="D43" s="147"/>
      <c r="E43" s="147"/>
      <c r="F43" s="147"/>
      <c r="G43" s="147"/>
    </row>
    <row r="44" spans="1:16" ht="13" x14ac:dyDescent="0.3">
      <c r="A44" s="148" t="s">
        <v>2</v>
      </c>
      <c r="B44" s="148"/>
      <c r="C44" s="147"/>
      <c r="D44" s="147"/>
      <c r="E44" s="147"/>
      <c r="F44" s="147"/>
      <c r="G44" s="147"/>
    </row>
    <row r="45" spans="1:16" x14ac:dyDescent="0.25">
      <c r="A45" s="147"/>
      <c r="B45" s="147"/>
      <c r="C45" s="147"/>
      <c r="D45" s="147"/>
      <c r="E45" s="147"/>
      <c r="F45" s="147"/>
      <c r="G45" s="147"/>
    </row>
    <row r="46" spans="1:16" x14ac:dyDescent="0.25">
      <c r="A46" s="147" t="s">
        <v>440</v>
      </c>
      <c r="B46" s="147"/>
      <c r="C46" s="147"/>
      <c r="D46" s="149">
        <f>'Limpeza - Item 1'!I45</f>
        <v>1743.69</v>
      </c>
      <c r="E46" s="147"/>
      <c r="F46" s="147"/>
      <c r="G46" s="147"/>
    </row>
    <row r="47" spans="1:16" x14ac:dyDescent="0.25">
      <c r="A47" s="147" t="s">
        <v>441</v>
      </c>
      <c r="B47" s="147"/>
      <c r="C47" s="147"/>
      <c r="D47" s="149">
        <f>'Limpeza - Item 1'!I102</f>
        <v>2258.295309056</v>
      </c>
      <c r="E47" s="147"/>
      <c r="F47" s="147"/>
      <c r="G47" s="147"/>
    </row>
    <row r="48" spans="1:16" x14ac:dyDescent="0.25">
      <c r="A48" s="147" t="s">
        <v>442</v>
      </c>
      <c r="B48" s="147"/>
      <c r="C48" s="147"/>
      <c r="D48" s="149">
        <f>'Limpeza - Item 1'!I112</f>
        <v>123.93311548800001</v>
      </c>
      <c r="E48" s="147"/>
      <c r="F48" s="147"/>
      <c r="G48" s="147"/>
    </row>
    <row r="49" spans="1:10" x14ac:dyDescent="0.25">
      <c r="A49" s="147"/>
      <c r="B49" s="147"/>
      <c r="C49" s="147"/>
      <c r="D49" s="149"/>
      <c r="E49" s="147"/>
      <c r="F49" s="147"/>
      <c r="G49" s="147"/>
    </row>
    <row r="50" spans="1:10" ht="13" x14ac:dyDescent="0.3">
      <c r="A50" s="148" t="s">
        <v>443</v>
      </c>
      <c r="B50" s="148"/>
      <c r="C50" s="148"/>
      <c r="D50" s="150">
        <f>SUM(D46:D49)</f>
        <v>4125.9184245440001</v>
      </c>
      <c r="E50" s="147"/>
      <c r="F50" s="147"/>
      <c r="G50" s="147"/>
    </row>
    <row r="51" spans="1:10" ht="13" thickBot="1" x14ac:dyDescent="0.3">
      <c r="A51" s="147"/>
      <c r="B51" s="147"/>
      <c r="C51" s="147"/>
      <c r="D51" s="147"/>
      <c r="E51" s="147"/>
      <c r="F51" s="147"/>
      <c r="G51" s="147"/>
    </row>
    <row r="52" spans="1:10" ht="13" thickBot="1" x14ac:dyDescent="0.3">
      <c r="A52" s="151" t="s">
        <v>473</v>
      </c>
      <c r="B52" s="152"/>
      <c r="C52" s="152"/>
      <c r="D52" s="153">
        <v>220</v>
      </c>
      <c r="E52" s="154" t="s">
        <v>474</v>
      </c>
      <c r="F52" s="147" t="s">
        <v>475</v>
      </c>
      <c r="G52" s="147"/>
    </row>
    <row r="53" spans="1:10" ht="13" thickBot="1" x14ac:dyDescent="0.3">
      <c r="A53" s="147"/>
      <c r="B53" s="147"/>
      <c r="C53" s="147"/>
      <c r="D53" s="147"/>
      <c r="E53" s="147"/>
      <c r="F53" s="147"/>
      <c r="G53" s="147"/>
    </row>
    <row r="54" spans="1:10" ht="13.5" thickBot="1" x14ac:dyDescent="0.35">
      <c r="A54" s="155" t="s">
        <v>476</v>
      </c>
      <c r="B54" s="156"/>
      <c r="C54" s="156"/>
      <c r="D54" s="157">
        <f>D50/D52</f>
        <v>18.754174657018183</v>
      </c>
      <c r="E54" s="147"/>
      <c r="F54" s="147"/>
      <c r="G54" s="147"/>
    </row>
    <row r="55" spans="1:10" ht="13" thickBot="1" x14ac:dyDescent="0.3">
      <c r="A55" s="147"/>
      <c r="B55" s="147"/>
      <c r="C55" s="147"/>
      <c r="D55" s="147"/>
      <c r="E55" s="147"/>
      <c r="F55" s="147"/>
      <c r="G55" s="147"/>
    </row>
    <row r="56" spans="1:10" ht="13" thickBot="1" x14ac:dyDescent="0.3">
      <c r="A56" s="151" t="s">
        <v>477</v>
      </c>
      <c r="B56" s="152"/>
      <c r="C56" s="152"/>
      <c r="D56" s="153">
        <v>15</v>
      </c>
      <c r="E56" s="147"/>
      <c r="F56" s="147"/>
      <c r="G56" s="147"/>
    </row>
    <row r="57" spans="1:10" ht="13" thickBot="1" x14ac:dyDescent="0.3">
      <c r="A57" s="147"/>
      <c r="B57" s="147"/>
      <c r="C57" s="147"/>
      <c r="D57" s="147"/>
      <c r="E57" s="147"/>
      <c r="F57" s="147"/>
      <c r="G57" s="147"/>
    </row>
    <row r="58" spans="1:10" ht="13.5" thickBot="1" x14ac:dyDescent="0.35">
      <c r="A58" s="155" t="s">
        <v>478</v>
      </c>
      <c r="B58" s="156"/>
      <c r="C58" s="156"/>
      <c r="D58" s="157">
        <f>D54*D56</f>
        <v>281.31261985527271</v>
      </c>
      <c r="E58" s="147"/>
      <c r="F58" s="147"/>
      <c r="G58" s="147"/>
    </row>
    <row r="62" spans="1:10" x14ac:dyDescent="0.25">
      <c r="A62" s="568" t="s">
        <v>479</v>
      </c>
      <c r="B62" s="568"/>
      <c r="C62" s="568"/>
      <c r="D62" s="568"/>
      <c r="E62" s="568"/>
      <c r="F62" s="568"/>
      <c r="G62" s="568"/>
      <c r="H62" s="568"/>
      <c r="I62" s="568"/>
      <c r="J62" s="568"/>
    </row>
    <row r="63" spans="1:10" x14ac:dyDescent="0.25">
      <c r="A63" s="568"/>
      <c r="B63" s="568"/>
      <c r="C63" s="568"/>
      <c r="D63" s="568"/>
      <c r="E63" s="568"/>
      <c r="F63" s="568"/>
      <c r="G63" s="568"/>
      <c r="H63" s="568"/>
      <c r="I63" s="568"/>
      <c r="J63" s="568"/>
    </row>
    <row r="64" spans="1:10" x14ac:dyDescent="0.25">
      <c r="A64" s="568"/>
      <c r="B64" s="568"/>
      <c r="C64" s="568"/>
      <c r="D64" s="568"/>
      <c r="E64" s="568"/>
      <c r="F64" s="568"/>
      <c r="G64" s="568"/>
      <c r="H64" s="568"/>
      <c r="I64" s="568"/>
      <c r="J64" s="568"/>
    </row>
    <row r="65" spans="1:10" x14ac:dyDescent="0.25">
      <c r="A65" s="568"/>
      <c r="B65" s="568"/>
      <c r="C65" s="568"/>
      <c r="D65" s="568"/>
      <c r="E65" s="568"/>
      <c r="F65" s="568"/>
      <c r="G65" s="568"/>
      <c r="H65" s="568"/>
      <c r="I65" s="568"/>
      <c r="J65" s="568"/>
    </row>
    <row r="66" spans="1:10" x14ac:dyDescent="0.25">
      <c r="A66" s="568"/>
      <c r="B66" s="568"/>
      <c r="C66" s="568"/>
      <c r="D66" s="568"/>
      <c r="E66" s="568"/>
      <c r="F66" s="568"/>
      <c r="G66" s="568"/>
      <c r="H66" s="568"/>
      <c r="I66" s="568"/>
      <c r="J66" s="568"/>
    </row>
    <row r="67" spans="1:10" x14ac:dyDescent="0.25">
      <c r="A67" s="568"/>
      <c r="B67" s="568"/>
      <c r="C67" s="568"/>
      <c r="D67" s="568"/>
      <c r="E67" s="568"/>
      <c r="F67" s="568"/>
      <c r="G67" s="568"/>
      <c r="H67" s="568"/>
      <c r="I67" s="568"/>
      <c r="J67" s="568"/>
    </row>
  </sheetData>
  <mergeCells count="5">
    <mergeCell ref="A1:I1"/>
    <mergeCell ref="A62:J67"/>
    <mergeCell ref="F13:M13"/>
    <mergeCell ref="C38:I38"/>
    <mergeCell ref="A42:D42"/>
  </mergeCells>
  <pageMargins left="0.511811024" right="0.511811024" top="0.78740157499999996" bottom="0.78740157499999996" header="0.31496062000000002" footer="0.31496062000000002"/>
  <pageSetup paperSize="9" orientation="portrait" verticalDpi="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D11"/>
  <sheetViews>
    <sheetView workbookViewId="0">
      <selection activeCell="B3" sqref="B3"/>
    </sheetView>
  </sheetViews>
  <sheetFormatPr defaultRowHeight="12.5" x14ac:dyDescent="0.25"/>
  <cols>
    <col min="1" max="1" width="10.81640625" customWidth="1"/>
  </cols>
  <sheetData>
    <row r="1" spans="1:4" x14ac:dyDescent="0.25">
      <c r="A1" t="s">
        <v>480</v>
      </c>
    </row>
    <row r="3" spans="1:4" ht="13" x14ac:dyDescent="0.3">
      <c r="A3" s="10" t="s">
        <v>481</v>
      </c>
      <c r="B3">
        <f>'Limpeza - Item 1'!I172/'Limpeza - Item 1'!I39</f>
        <v>4.9051821067590229</v>
      </c>
    </row>
    <row r="5" spans="1:4" x14ac:dyDescent="0.25">
      <c r="A5" t="s">
        <v>482</v>
      </c>
    </row>
    <row r="7" spans="1:4" x14ac:dyDescent="0.25">
      <c r="A7" t="s">
        <v>483</v>
      </c>
    </row>
    <row r="9" spans="1:4" x14ac:dyDescent="0.25">
      <c r="A9" s="41">
        <v>2.2799999999999998</v>
      </c>
      <c r="B9" t="s">
        <v>484</v>
      </c>
      <c r="D9" s="159" t="s">
        <v>485</v>
      </c>
    </row>
    <row r="10" spans="1:4" x14ac:dyDescent="0.25">
      <c r="A10" s="41" t="s">
        <v>486</v>
      </c>
      <c r="B10" t="s">
        <v>487</v>
      </c>
      <c r="D10" t="s">
        <v>488</v>
      </c>
    </row>
    <row r="11" spans="1:4" x14ac:dyDescent="0.25">
      <c r="A11" s="41" t="s">
        <v>489</v>
      </c>
      <c r="B11" t="s">
        <v>490</v>
      </c>
    </row>
  </sheetData>
  <hyperlinks>
    <hyperlink ref="D9" r:id="rId1" xr:uid="{8BE79517-8DB1-40F0-A907-D8CA219ED23E}"/>
  </hyperlinks>
  <pageMargins left="0.511811024" right="0.511811024" top="0.78740157499999996" bottom="0.78740157499999996" header="0.31496062000000002" footer="0.3149606200000000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8DA83F-EFDD-4977-B1F6-C4247563FDE2}">
  <dimension ref="A1:K98"/>
  <sheetViews>
    <sheetView zoomScale="140" zoomScaleNormal="140" workbookViewId="0">
      <selection activeCell="A8" sqref="A8:I8"/>
    </sheetView>
  </sheetViews>
  <sheetFormatPr defaultRowHeight="12.5" x14ac:dyDescent="0.25"/>
  <cols>
    <col min="1" max="1" width="7.7265625" customWidth="1"/>
    <col min="2" max="2" width="14.54296875" customWidth="1"/>
    <col min="3" max="3" width="12.54296875" customWidth="1"/>
    <col min="5" max="5" width="10.81640625" bestFit="1" customWidth="1"/>
    <col min="6" max="6" width="10.26953125" customWidth="1"/>
    <col min="7" max="7" width="20.1796875" customWidth="1"/>
    <col min="8" max="8" width="9" customWidth="1"/>
    <col min="9" max="9" width="16.1796875" customWidth="1"/>
    <col min="10" max="10" width="5" customWidth="1"/>
    <col min="11" max="11" width="17.26953125" customWidth="1"/>
    <col min="12" max="12" width="15.81640625" customWidth="1"/>
    <col min="13" max="13" width="9.54296875" bestFit="1" customWidth="1"/>
  </cols>
  <sheetData>
    <row r="1" spans="1:9" ht="13.5" thickBot="1" x14ac:dyDescent="0.35">
      <c r="A1" s="487" t="s">
        <v>491</v>
      </c>
      <c r="B1" s="488"/>
      <c r="C1" s="488"/>
      <c r="D1" s="488"/>
      <c r="E1" s="488"/>
      <c r="F1" s="488"/>
      <c r="G1" s="488"/>
      <c r="H1" s="488"/>
      <c r="I1" s="527"/>
    </row>
    <row r="2" spans="1:9" ht="13" x14ac:dyDescent="0.25">
      <c r="A2" s="38"/>
      <c r="B2" s="38"/>
      <c r="C2" s="38"/>
      <c r="D2" s="38"/>
      <c r="E2" s="38"/>
      <c r="F2" s="38"/>
      <c r="G2" s="38"/>
      <c r="H2" s="38"/>
      <c r="I2" s="38"/>
    </row>
    <row r="3" spans="1:9" ht="13" x14ac:dyDescent="0.25">
      <c r="A3" s="38" t="s">
        <v>492</v>
      </c>
      <c r="B3" s="38"/>
      <c r="C3" s="38"/>
      <c r="D3" s="38"/>
      <c r="E3" s="38"/>
      <c r="F3" s="38"/>
      <c r="G3" s="38"/>
      <c r="H3" s="38"/>
      <c r="I3" s="38"/>
    </row>
    <row r="4" spans="1:9" ht="15" customHeight="1" x14ac:dyDescent="0.25">
      <c r="A4" s="771" t="s">
        <v>493</v>
      </c>
      <c r="B4" s="771"/>
      <c r="C4" s="771"/>
      <c r="D4" s="771"/>
      <c r="E4" s="771"/>
      <c r="F4" s="771"/>
      <c r="G4" s="771"/>
      <c r="H4" s="771"/>
      <c r="I4" s="771"/>
    </row>
    <row r="5" spans="1:9" ht="15" customHeight="1" x14ac:dyDescent="0.25">
      <c r="A5" s="771" t="s">
        <v>494</v>
      </c>
      <c r="B5" s="771"/>
      <c r="C5" s="771"/>
      <c r="D5" s="771"/>
      <c r="E5" s="771"/>
      <c r="F5" s="771"/>
      <c r="G5" s="771"/>
      <c r="H5" s="771"/>
      <c r="I5" s="771"/>
    </row>
    <row r="6" spans="1:9" ht="15" customHeight="1" x14ac:dyDescent="0.25">
      <c r="A6" s="771" t="s">
        <v>495</v>
      </c>
      <c r="B6" s="771"/>
      <c r="C6" s="771"/>
      <c r="D6" s="771"/>
      <c r="E6" s="771"/>
      <c r="F6" s="771"/>
      <c r="G6" s="771"/>
      <c r="H6" s="771"/>
      <c r="I6" s="771"/>
    </row>
    <row r="7" spans="1:9" ht="15" customHeight="1" x14ac:dyDescent="0.25">
      <c r="A7" s="771"/>
      <c r="B7" s="771"/>
      <c r="C7" s="771"/>
      <c r="D7" s="771"/>
      <c r="E7" s="771"/>
      <c r="F7" s="771"/>
      <c r="G7" s="771"/>
      <c r="H7" s="771"/>
      <c r="I7" s="771"/>
    </row>
    <row r="8" spans="1:9" ht="27" customHeight="1" x14ac:dyDescent="0.25">
      <c r="A8" s="771" t="s">
        <v>496</v>
      </c>
      <c r="B8" s="771"/>
      <c r="C8" s="771"/>
      <c r="D8" s="771"/>
      <c r="E8" s="771"/>
      <c r="F8" s="771"/>
      <c r="G8" s="771"/>
      <c r="H8" s="771"/>
      <c r="I8" s="771"/>
    </row>
    <row r="9" spans="1:9" ht="15" customHeight="1" x14ac:dyDescent="0.25">
      <c r="A9" s="777" t="s">
        <v>497</v>
      </c>
      <c r="B9" s="777"/>
      <c r="C9" s="777"/>
      <c r="D9" s="777"/>
      <c r="E9" s="777"/>
      <c r="F9" s="777"/>
      <c r="G9" s="777"/>
      <c r="H9" s="777"/>
      <c r="I9" s="777"/>
    </row>
    <row r="10" spans="1:9" ht="15" customHeight="1" x14ac:dyDescent="0.25">
      <c r="A10" s="777"/>
      <c r="B10" s="777"/>
      <c r="C10" s="777"/>
      <c r="D10" s="777"/>
      <c r="E10" s="777"/>
      <c r="F10" s="777"/>
      <c r="G10" s="777"/>
      <c r="H10" s="777"/>
      <c r="I10" s="777"/>
    </row>
    <row r="11" spans="1:9" ht="30" customHeight="1" x14ac:dyDescent="0.25">
      <c r="A11" s="771" t="s">
        <v>498</v>
      </c>
      <c r="B11" s="771"/>
      <c r="C11" s="771"/>
      <c r="D11" s="771"/>
      <c r="E11" s="771"/>
      <c r="F11" s="771"/>
      <c r="G11" s="771"/>
      <c r="H11" s="771"/>
      <c r="I11" s="771"/>
    </row>
    <row r="12" spans="1:9" ht="30" customHeight="1" x14ac:dyDescent="0.25">
      <c r="A12" s="771" t="s">
        <v>499</v>
      </c>
      <c r="B12" s="771"/>
      <c r="C12" s="771"/>
      <c r="D12" s="771"/>
      <c r="E12" s="771"/>
      <c r="F12" s="771"/>
      <c r="G12" s="771"/>
      <c r="H12" s="771"/>
      <c r="I12" s="771"/>
    </row>
    <row r="13" spans="1:9" ht="30" customHeight="1" x14ac:dyDescent="0.25">
      <c r="A13" s="771" t="s">
        <v>500</v>
      </c>
      <c r="B13" s="771"/>
      <c r="C13" s="771"/>
      <c r="D13" s="771"/>
      <c r="E13" s="771"/>
      <c r="F13" s="771"/>
      <c r="G13" s="771"/>
      <c r="H13" s="771"/>
      <c r="I13" s="771"/>
    </row>
    <row r="14" spans="1:9" ht="30" customHeight="1" x14ac:dyDescent="0.25">
      <c r="A14" s="771" t="s">
        <v>501</v>
      </c>
      <c r="B14" s="771"/>
      <c r="C14" s="771"/>
      <c r="D14" s="771"/>
      <c r="E14" s="771"/>
      <c r="F14" s="771"/>
      <c r="G14" s="771"/>
      <c r="H14" s="771"/>
      <c r="I14" s="771"/>
    </row>
    <row r="15" spans="1:9" ht="30" customHeight="1" x14ac:dyDescent="0.25">
      <c r="A15" s="772" t="s">
        <v>502</v>
      </c>
      <c r="B15" s="772"/>
      <c r="C15" s="772"/>
      <c r="D15" s="772"/>
      <c r="E15" s="772"/>
      <c r="F15" s="772"/>
      <c r="G15" s="772"/>
      <c r="H15" s="772"/>
      <c r="I15" s="772"/>
    </row>
    <row r="16" spans="1:9" ht="12.75" customHeight="1" thickBot="1" x14ac:dyDescent="0.3">
      <c r="A16" s="772"/>
      <c r="B16" s="772"/>
      <c r="C16" s="772"/>
      <c r="D16" s="772"/>
      <c r="E16" s="772"/>
      <c r="F16" s="772"/>
      <c r="G16" s="772"/>
      <c r="H16" s="772"/>
      <c r="I16" s="772"/>
    </row>
    <row r="17" spans="1:9" ht="13.5" thickBot="1" x14ac:dyDescent="0.3">
      <c r="A17" s="778" t="s">
        <v>503</v>
      </c>
      <c r="B17" s="779"/>
      <c r="C17" s="779"/>
      <c r="D17" s="779"/>
      <c r="E17" s="779"/>
      <c r="F17" s="779"/>
      <c r="G17" s="779"/>
      <c r="H17" s="779"/>
      <c r="I17" s="780"/>
    </row>
    <row r="19" spans="1:9" ht="13" x14ac:dyDescent="0.3">
      <c r="A19" s="492" t="s">
        <v>91</v>
      </c>
      <c r="B19" s="492"/>
      <c r="C19" s="492"/>
      <c r="D19" s="492"/>
      <c r="E19" s="492"/>
      <c r="F19" s="492"/>
      <c r="G19" s="492"/>
      <c r="H19" s="492"/>
      <c r="I19" s="492"/>
    </row>
    <row r="20" spans="1:9" ht="13" x14ac:dyDescent="0.3">
      <c r="A20" s="47" t="s">
        <v>92</v>
      </c>
      <c r="B20" s="508" t="s">
        <v>93</v>
      </c>
      <c r="C20" s="509"/>
      <c r="D20" s="509"/>
      <c r="E20" s="509"/>
      <c r="F20" s="509"/>
      <c r="G20" s="509"/>
      <c r="H20" s="510"/>
      <c r="I20" s="8" t="s">
        <v>76</v>
      </c>
    </row>
    <row r="21" spans="1:9" ht="24.75" customHeight="1" x14ac:dyDescent="0.25">
      <c r="A21" s="47" t="s">
        <v>40</v>
      </c>
      <c r="B21" s="773" t="s">
        <v>504</v>
      </c>
      <c r="C21" s="499"/>
      <c r="D21" s="499"/>
      <c r="E21" s="499"/>
      <c r="F21" s="499"/>
      <c r="G21" s="499"/>
      <c r="H21" s="500"/>
      <c r="I21" s="160">
        <f>1/12</f>
        <v>8.3333333333333329E-2</v>
      </c>
    </row>
    <row r="22" spans="1:9" ht="24.75" customHeight="1" x14ac:dyDescent="0.3">
      <c r="A22" s="8" t="s">
        <v>42</v>
      </c>
      <c r="B22" s="773" t="s">
        <v>505</v>
      </c>
      <c r="C22" s="774"/>
      <c r="D22" s="774"/>
      <c r="E22" s="774"/>
      <c r="F22" s="774"/>
      <c r="G22" s="774"/>
      <c r="H22" s="775"/>
      <c r="I22" s="24">
        <v>0.121</v>
      </c>
    </row>
    <row r="23" spans="1:9" ht="13" x14ac:dyDescent="0.3">
      <c r="A23" s="480" t="s">
        <v>96</v>
      </c>
      <c r="B23" s="480"/>
      <c r="C23" s="480"/>
      <c r="D23" s="480"/>
      <c r="E23" s="480"/>
      <c r="F23" s="480"/>
      <c r="G23" s="480"/>
      <c r="H23" s="42"/>
      <c r="I23" s="42">
        <f>TRUNC(SUM(I21:I22),4)</f>
        <v>0.20430000000000001</v>
      </c>
    </row>
    <row r="24" spans="1:9" ht="37.5" customHeight="1" x14ac:dyDescent="0.25">
      <c r="A24" s="47" t="s">
        <v>45</v>
      </c>
      <c r="B24" s="773" t="s">
        <v>506</v>
      </c>
      <c r="C24" s="774"/>
      <c r="D24" s="774"/>
      <c r="E24" s="774"/>
      <c r="F24" s="774"/>
      <c r="G24" s="774"/>
      <c r="H24" s="775"/>
      <c r="I24" s="160">
        <v>7.8200000000000006E-2</v>
      </c>
    </row>
    <row r="25" spans="1:9" ht="13" x14ac:dyDescent="0.3">
      <c r="A25" s="480" t="s">
        <v>98</v>
      </c>
      <c r="B25" s="480"/>
      <c r="C25" s="480"/>
      <c r="D25" s="480"/>
      <c r="E25" s="480"/>
      <c r="F25" s="480"/>
      <c r="G25" s="480"/>
      <c r="H25" s="42"/>
      <c r="I25" s="42">
        <f>TRUNC(SUM(I23:I24),4)</f>
        <v>0.28249999999999997</v>
      </c>
    </row>
    <row r="26" spans="1:9" ht="13" x14ac:dyDescent="0.3">
      <c r="A26" s="168" t="s">
        <v>507</v>
      </c>
      <c r="B26" s="8"/>
      <c r="C26" s="8"/>
      <c r="D26" s="8"/>
      <c r="E26" s="8"/>
      <c r="F26" s="8"/>
      <c r="G26" s="8"/>
      <c r="H26" s="167"/>
      <c r="I26" s="167"/>
    </row>
    <row r="27" spans="1:9" s="10" customFormat="1" ht="13" x14ac:dyDescent="0.3">
      <c r="A27" s="37"/>
    </row>
    <row r="28" spans="1:9" s="10" customFormat="1" ht="13" x14ac:dyDescent="0.3">
      <c r="A28" s="37"/>
    </row>
    <row r="29" spans="1:9" ht="13" x14ac:dyDescent="0.3">
      <c r="A29" s="3"/>
      <c r="B29" s="3"/>
      <c r="C29" s="3"/>
      <c r="D29" s="3"/>
      <c r="E29" s="3"/>
      <c r="F29" s="3"/>
      <c r="G29" s="3"/>
      <c r="H29" s="3"/>
      <c r="I29" s="4"/>
    </row>
    <row r="30" spans="1:9" s="10" customFormat="1" ht="13" x14ac:dyDescent="0.3">
      <c r="A30" s="492" t="s">
        <v>143</v>
      </c>
      <c r="B30" s="492"/>
      <c r="C30" s="492"/>
      <c r="D30" s="492"/>
      <c r="E30" s="492"/>
      <c r="F30" s="492"/>
      <c r="G30" s="492"/>
      <c r="H30" s="492"/>
      <c r="I30" s="492"/>
    </row>
    <row r="31" spans="1:9" ht="13" x14ac:dyDescent="0.3">
      <c r="A31" s="8">
        <v>3</v>
      </c>
      <c r="B31" s="477" t="s">
        <v>144</v>
      </c>
      <c r="C31" s="477"/>
      <c r="D31" s="477"/>
      <c r="E31" s="477"/>
      <c r="F31" s="477"/>
      <c r="G31" s="477"/>
      <c r="H31" s="8" t="s">
        <v>76</v>
      </c>
      <c r="I31" s="8" t="s">
        <v>77</v>
      </c>
    </row>
    <row r="32" spans="1:9" ht="13" x14ac:dyDescent="0.3">
      <c r="A32" s="8" t="s">
        <v>40</v>
      </c>
      <c r="B32" s="478" t="s">
        <v>145</v>
      </c>
      <c r="C32" s="478"/>
      <c r="D32" s="478"/>
      <c r="E32" s="478"/>
      <c r="F32" s="478"/>
      <c r="G32" s="478"/>
      <c r="H32" s="1">
        <v>4.1999999999999997E-3</v>
      </c>
      <c r="I32" s="25"/>
    </row>
    <row r="33" spans="1:11" ht="13" x14ac:dyDescent="0.25">
      <c r="A33" s="47" t="s">
        <v>42</v>
      </c>
      <c r="B33" s="481" t="s">
        <v>146</v>
      </c>
      <c r="C33" s="481"/>
      <c r="D33" s="481"/>
      <c r="E33" s="481"/>
      <c r="F33" s="481"/>
      <c r="G33" s="481"/>
      <c r="H33" s="160">
        <v>0.08</v>
      </c>
      <c r="I33" s="161"/>
    </row>
    <row r="34" spans="1:11" ht="39" customHeight="1" x14ac:dyDescent="0.25">
      <c r="A34" s="47" t="s">
        <v>45</v>
      </c>
      <c r="B34" s="481" t="s">
        <v>508</v>
      </c>
      <c r="C34" s="481"/>
      <c r="D34" s="481"/>
      <c r="E34" s="481"/>
      <c r="F34" s="481"/>
      <c r="G34" s="481"/>
      <c r="H34" s="160">
        <v>2E-3</v>
      </c>
      <c r="I34" s="161"/>
      <c r="K34" s="87"/>
    </row>
    <row r="35" spans="1:11" ht="13" x14ac:dyDescent="0.3">
      <c r="A35" s="8" t="s">
        <v>48</v>
      </c>
      <c r="B35" s="478" t="s">
        <v>148</v>
      </c>
      <c r="C35" s="478"/>
      <c r="D35" s="478"/>
      <c r="E35" s="478"/>
      <c r="F35" s="478"/>
      <c r="G35" s="478"/>
      <c r="H35" s="1">
        <v>1.9400000000000001E-2</v>
      </c>
      <c r="I35" s="25"/>
    </row>
    <row r="36" spans="1:11" ht="13" x14ac:dyDescent="0.3">
      <c r="A36" s="8" t="s">
        <v>84</v>
      </c>
      <c r="B36" s="511" t="s">
        <v>149</v>
      </c>
      <c r="C36" s="511"/>
      <c r="D36" s="511"/>
      <c r="E36" s="511"/>
      <c r="F36" s="511"/>
      <c r="G36" s="511"/>
      <c r="H36" s="24">
        <v>0.36799999999999999</v>
      </c>
      <c r="I36" s="25"/>
    </row>
    <row r="37" spans="1:11" ht="37.5" customHeight="1" x14ac:dyDescent="0.25">
      <c r="A37" s="47" t="s">
        <v>86</v>
      </c>
      <c r="B37" s="481" t="s">
        <v>509</v>
      </c>
      <c r="C37" s="481"/>
      <c r="D37" s="481"/>
      <c r="E37" s="481"/>
      <c r="F37" s="481"/>
      <c r="G37" s="481"/>
      <c r="H37" s="160">
        <v>3.7999999999999999E-2</v>
      </c>
      <c r="I37" s="161"/>
    </row>
    <row r="38" spans="1:11" ht="13" x14ac:dyDescent="0.3">
      <c r="A38" s="485" t="s">
        <v>151</v>
      </c>
      <c r="B38" s="485"/>
      <c r="C38" s="485"/>
      <c r="D38" s="485"/>
      <c r="E38" s="485"/>
      <c r="F38" s="485"/>
      <c r="G38" s="485"/>
      <c r="H38" s="42"/>
      <c r="I38" s="128"/>
    </row>
    <row r="39" spans="1:11" ht="13" x14ac:dyDescent="0.3">
      <c r="A39" s="3"/>
      <c r="B39" s="3"/>
      <c r="C39" s="3"/>
      <c r="D39" s="3"/>
      <c r="E39" s="3"/>
      <c r="F39" s="3"/>
      <c r="G39" s="3"/>
      <c r="H39" s="44"/>
      <c r="I39" s="4"/>
    </row>
    <row r="40" spans="1:11" ht="13" x14ac:dyDescent="0.3">
      <c r="A40" s="760" t="s">
        <v>510</v>
      </c>
      <c r="B40" s="10" t="s">
        <v>511</v>
      </c>
      <c r="C40" s="3"/>
      <c r="D40" s="3"/>
      <c r="E40" s="3"/>
      <c r="F40" s="3"/>
      <c r="G40" s="3"/>
      <c r="H40" s="44"/>
      <c r="I40" s="4"/>
    </row>
    <row r="41" spans="1:11" ht="13" x14ac:dyDescent="0.3">
      <c r="A41" s="760"/>
      <c r="B41" s="169" t="s">
        <v>512</v>
      </c>
      <c r="C41" s="3"/>
      <c r="D41" s="3"/>
      <c r="E41" s="3"/>
      <c r="F41" s="3"/>
      <c r="G41" s="3"/>
      <c r="H41" s="44"/>
      <c r="I41" s="4"/>
    </row>
    <row r="42" spans="1:11" ht="13" x14ac:dyDescent="0.3">
      <c r="A42" s="760"/>
      <c r="B42" t="s">
        <v>513</v>
      </c>
      <c r="C42" s="3"/>
      <c r="D42" s="3"/>
      <c r="E42" s="3"/>
      <c r="F42" s="3"/>
      <c r="G42" s="3"/>
      <c r="H42" s="44"/>
      <c r="I42" s="4"/>
    </row>
    <row r="43" spans="1:11" ht="13" x14ac:dyDescent="0.3">
      <c r="A43" s="760"/>
      <c r="B43" s="169" t="s">
        <v>514</v>
      </c>
      <c r="C43" s="3"/>
      <c r="D43" s="3"/>
      <c r="E43" s="3"/>
      <c r="F43" s="3"/>
      <c r="G43" s="3"/>
      <c r="H43" s="44"/>
      <c r="I43" s="4"/>
    </row>
    <row r="44" spans="1:11" ht="13" x14ac:dyDescent="0.3">
      <c r="A44" s="760"/>
      <c r="B44" s="169" t="s">
        <v>515</v>
      </c>
      <c r="C44" s="3"/>
      <c r="D44" s="3"/>
      <c r="E44" s="3"/>
      <c r="F44" s="3"/>
      <c r="G44" s="3"/>
      <c r="H44" s="44"/>
      <c r="I44" s="4"/>
    </row>
    <row r="45" spans="1:11" ht="13" x14ac:dyDescent="0.3">
      <c r="A45" s="760"/>
      <c r="B45" s="169" t="s">
        <v>516</v>
      </c>
      <c r="C45" s="3"/>
      <c r="D45" s="3"/>
      <c r="E45" s="3"/>
      <c r="F45" s="3"/>
      <c r="G45" s="3"/>
      <c r="H45" s="44"/>
      <c r="I45" s="4"/>
    </row>
    <row r="46" spans="1:11" ht="13" x14ac:dyDescent="0.3">
      <c r="A46" s="760"/>
      <c r="B46" s="170" t="s">
        <v>517</v>
      </c>
      <c r="C46" s="3"/>
      <c r="D46" s="3"/>
      <c r="E46" s="3"/>
      <c r="F46" s="3"/>
      <c r="G46" s="3"/>
      <c r="H46" s="44"/>
      <c r="I46" s="4"/>
    </row>
    <row r="47" spans="1:11" ht="13" x14ac:dyDescent="0.3">
      <c r="A47" s="3"/>
      <c r="C47" s="3"/>
      <c r="D47" s="3"/>
      <c r="E47" s="3"/>
      <c r="F47" s="3"/>
      <c r="G47" s="3"/>
      <c r="H47" s="44"/>
      <c r="I47" s="4"/>
    </row>
    <row r="48" spans="1:11" ht="13" x14ac:dyDescent="0.3">
      <c r="A48" s="760" t="s">
        <v>518</v>
      </c>
      <c r="B48" s="169" t="s">
        <v>519</v>
      </c>
      <c r="C48" s="3"/>
      <c r="D48" s="3"/>
      <c r="E48" s="3"/>
      <c r="F48" s="3"/>
      <c r="G48" s="3"/>
      <c r="H48" s="44"/>
      <c r="I48" s="4"/>
    </row>
    <row r="49" spans="1:10" ht="13" x14ac:dyDescent="0.3">
      <c r="A49" s="760"/>
      <c r="B49" s="169" t="s">
        <v>520</v>
      </c>
      <c r="C49" s="3"/>
      <c r="D49" s="3"/>
      <c r="E49" s="3"/>
      <c r="F49" s="3"/>
      <c r="G49" s="3"/>
      <c r="H49" s="44"/>
      <c r="I49" s="4"/>
    </row>
    <row r="50" spans="1:10" ht="13" x14ac:dyDescent="0.3">
      <c r="A50" s="3"/>
      <c r="B50" s="170"/>
      <c r="C50" s="3"/>
      <c r="D50" s="3"/>
      <c r="E50" s="3"/>
      <c r="F50" s="3"/>
      <c r="G50" s="3"/>
      <c r="H50" s="44"/>
      <c r="I50" s="4"/>
    </row>
    <row r="51" spans="1:10" ht="27" customHeight="1" x14ac:dyDescent="0.25">
      <c r="A51" s="760" t="s">
        <v>521</v>
      </c>
      <c r="B51" s="776" t="s">
        <v>522</v>
      </c>
      <c r="C51" s="776"/>
      <c r="D51" s="776"/>
      <c r="E51" s="776"/>
      <c r="F51" s="776"/>
      <c r="G51" s="776"/>
      <c r="H51" s="776"/>
      <c r="I51" s="776"/>
    </row>
    <row r="52" spans="1:10" ht="13" x14ac:dyDescent="0.3">
      <c r="A52" s="760"/>
      <c r="B52" s="169" t="s">
        <v>523</v>
      </c>
      <c r="C52" s="3"/>
      <c r="D52" s="3"/>
      <c r="E52" s="3"/>
      <c r="F52" s="3"/>
      <c r="G52" s="3"/>
      <c r="H52" s="44"/>
      <c r="I52" s="4"/>
    </row>
    <row r="53" spans="1:10" ht="13" x14ac:dyDescent="0.3">
      <c r="A53" s="3"/>
      <c r="B53" s="170"/>
      <c r="C53" s="3"/>
      <c r="D53" s="3"/>
      <c r="E53" s="3"/>
      <c r="F53" s="3"/>
      <c r="G53" s="3"/>
      <c r="H53" s="44"/>
      <c r="I53" s="4"/>
    </row>
    <row r="54" spans="1:10" ht="13" x14ac:dyDescent="0.3">
      <c r="A54" s="3" t="s">
        <v>524</v>
      </c>
      <c r="B54" s="86" t="s">
        <v>411</v>
      </c>
      <c r="C54" s="3"/>
      <c r="D54" s="3"/>
      <c r="E54" s="3"/>
      <c r="F54" s="3"/>
      <c r="G54" s="3"/>
      <c r="H54" s="44"/>
      <c r="I54" s="4"/>
    </row>
    <row r="56" spans="1:10" ht="12.75" customHeight="1" x14ac:dyDescent="0.25">
      <c r="A56" s="571" t="s">
        <v>412</v>
      </c>
      <c r="B56" s="571"/>
      <c r="C56" s="571"/>
      <c r="D56" s="571"/>
      <c r="E56" s="571"/>
      <c r="F56" s="571"/>
      <c r="G56" s="571"/>
      <c r="H56" s="571"/>
      <c r="I56" s="571"/>
      <c r="J56" s="571"/>
    </row>
    <row r="57" spans="1:10" x14ac:dyDescent="0.25">
      <c r="A57" s="571"/>
      <c r="B57" s="571"/>
      <c r="C57" s="571"/>
      <c r="D57" s="571"/>
      <c r="E57" s="571"/>
      <c r="F57" s="571"/>
      <c r="G57" s="571"/>
      <c r="H57" s="571"/>
      <c r="I57" s="571"/>
      <c r="J57" s="571"/>
    </row>
    <row r="58" spans="1:10" x14ac:dyDescent="0.25">
      <c r="A58" s="571"/>
      <c r="B58" s="571"/>
      <c r="C58" s="571"/>
      <c r="D58" s="571"/>
      <c r="E58" s="571"/>
      <c r="F58" s="571"/>
      <c r="G58" s="571"/>
      <c r="H58" s="571"/>
      <c r="I58" s="571"/>
      <c r="J58" s="571"/>
    </row>
    <row r="59" spans="1:10" x14ac:dyDescent="0.25">
      <c r="A59" s="571"/>
      <c r="B59" s="571"/>
      <c r="C59" s="571"/>
      <c r="D59" s="571"/>
      <c r="E59" s="571"/>
      <c r="F59" s="571"/>
      <c r="G59" s="571"/>
      <c r="H59" s="571"/>
      <c r="I59" s="571"/>
      <c r="J59" s="571"/>
    </row>
    <row r="60" spans="1:10" x14ac:dyDescent="0.25">
      <c r="A60" s="571"/>
      <c r="B60" s="571"/>
      <c r="C60" s="571"/>
      <c r="D60" s="571"/>
      <c r="E60" s="571"/>
      <c r="F60" s="571"/>
      <c r="G60" s="571"/>
      <c r="H60" s="571"/>
      <c r="I60" s="571"/>
      <c r="J60" s="571"/>
    </row>
    <row r="61" spans="1:10" x14ac:dyDescent="0.25">
      <c r="A61" s="162"/>
      <c r="B61" s="162"/>
      <c r="C61" s="162"/>
      <c r="D61" s="162"/>
      <c r="E61" s="162"/>
      <c r="F61" s="162"/>
      <c r="G61" s="162"/>
      <c r="H61" s="162"/>
      <c r="I61" s="162"/>
      <c r="J61" s="162"/>
    </row>
    <row r="62" spans="1:10" ht="13" x14ac:dyDescent="0.3">
      <c r="A62" s="760" t="s">
        <v>525</v>
      </c>
      <c r="B62" s="169" t="s">
        <v>526</v>
      </c>
      <c r="C62" s="3"/>
      <c r="D62" s="3"/>
      <c r="E62" s="3"/>
      <c r="F62" s="3"/>
      <c r="G62" s="162"/>
      <c r="H62" s="162"/>
      <c r="I62" s="162"/>
      <c r="J62" s="162"/>
    </row>
    <row r="63" spans="1:10" ht="13" x14ac:dyDescent="0.3">
      <c r="A63" s="760"/>
      <c r="B63" s="169" t="s">
        <v>527</v>
      </c>
      <c r="C63" s="3"/>
      <c r="D63" s="3"/>
      <c r="E63" s="3"/>
      <c r="F63" s="3"/>
      <c r="G63" s="162"/>
      <c r="H63" s="162"/>
      <c r="I63" s="162"/>
      <c r="J63" s="162"/>
    </row>
    <row r="64" spans="1:10" x14ac:dyDescent="0.25">
      <c r="A64" s="162"/>
      <c r="B64" s="162"/>
      <c r="C64" s="162"/>
      <c r="D64" s="162"/>
      <c r="E64" s="162"/>
      <c r="F64" s="162"/>
      <c r="G64" s="162"/>
      <c r="H64" s="162"/>
      <c r="I64" s="162"/>
      <c r="J64" s="162"/>
    </row>
    <row r="65" spans="1:10" x14ac:dyDescent="0.25">
      <c r="A65" s="760" t="s">
        <v>528</v>
      </c>
      <c r="B65" s="776" t="s">
        <v>522</v>
      </c>
      <c r="C65" s="776"/>
      <c r="D65" s="776"/>
      <c r="E65" s="776"/>
      <c r="F65" s="776"/>
      <c r="G65" s="776"/>
      <c r="H65" s="776"/>
      <c r="I65" s="776"/>
      <c r="J65" s="162"/>
    </row>
    <row r="66" spans="1:10" ht="13" x14ac:dyDescent="0.3">
      <c r="A66" s="760"/>
      <c r="B66" s="169" t="s">
        <v>529</v>
      </c>
      <c r="C66" s="3"/>
      <c r="D66" s="3"/>
      <c r="E66" s="3"/>
      <c r="F66" s="3"/>
      <c r="G66" s="3"/>
      <c r="H66" s="44"/>
      <c r="I66" s="4"/>
      <c r="J66" s="162"/>
    </row>
    <row r="67" spans="1:10" x14ac:dyDescent="0.25">
      <c r="A67" s="162"/>
      <c r="B67" s="162"/>
      <c r="C67" s="162"/>
      <c r="D67" s="162"/>
      <c r="E67" s="162"/>
      <c r="F67" s="162"/>
      <c r="G67" s="162"/>
      <c r="H67" s="162"/>
      <c r="I67" s="162"/>
      <c r="J67" s="162"/>
    </row>
    <row r="68" spans="1:10" x14ac:dyDescent="0.25">
      <c r="A68" s="162"/>
      <c r="B68" s="162"/>
      <c r="C68" s="162"/>
      <c r="D68" s="162"/>
      <c r="E68" s="162"/>
      <c r="F68" s="162"/>
      <c r="G68" s="162"/>
      <c r="H68" s="162"/>
      <c r="I68" s="162"/>
      <c r="J68" s="162"/>
    </row>
    <row r="69" spans="1:10" ht="13" x14ac:dyDescent="0.3">
      <c r="A69" s="49" t="s">
        <v>155</v>
      </c>
      <c r="B69" s="480" t="s">
        <v>156</v>
      </c>
      <c r="C69" s="480"/>
      <c r="D69" s="480"/>
      <c r="E69" s="480"/>
      <c r="F69" s="480"/>
      <c r="G69" s="480"/>
      <c r="H69" s="34" t="s">
        <v>76</v>
      </c>
      <c r="I69" s="34" t="s">
        <v>77</v>
      </c>
      <c r="J69" s="162"/>
    </row>
    <row r="70" spans="1:10" ht="13" x14ac:dyDescent="0.3">
      <c r="A70" s="49" t="s">
        <v>40</v>
      </c>
      <c r="B70" s="478" t="s">
        <v>157</v>
      </c>
      <c r="C70" s="478"/>
      <c r="D70" s="478"/>
      <c r="E70" s="478"/>
      <c r="F70" s="478"/>
      <c r="G70" s="478"/>
      <c r="H70" s="43"/>
      <c r="I70" s="43"/>
      <c r="J70" s="162"/>
    </row>
    <row r="71" spans="1:10" ht="24" customHeight="1" x14ac:dyDescent="0.25">
      <c r="A71" s="56" t="s">
        <v>42</v>
      </c>
      <c r="B71" s="786" t="s">
        <v>530</v>
      </c>
      <c r="C71" s="786"/>
      <c r="D71" s="786"/>
      <c r="E71" s="786"/>
      <c r="F71" s="786"/>
      <c r="G71" s="786"/>
      <c r="H71" s="171">
        <v>1.67E-2</v>
      </c>
      <c r="I71" s="161">
        <f>H71*$I$45</f>
        <v>0</v>
      </c>
      <c r="J71" s="162"/>
    </row>
    <row r="72" spans="1:10" ht="36" customHeight="1" x14ac:dyDescent="0.25">
      <c r="A72" s="56" t="s">
        <v>45</v>
      </c>
      <c r="B72" s="785" t="s">
        <v>531</v>
      </c>
      <c r="C72" s="785"/>
      <c r="D72" s="785"/>
      <c r="E72" s="785"/>
      <c r="F72" s="785"/>
      <c r="G72" s="785"/>
      <c r="H72" s="171">
        <v>2.0000000000000001E-4</v>
      </c>
      <c r="I72" s="161">
        <f>H72*$I$45</f>
        <v>0</v>
      </c>
      <c r="J72" s="162"/>
    </row>
    <row r="73" spans="1:10" ht="42.75" customHeight="1" x14ac:dyDescent="0.25">
      <c r="A73" s="56" t="s">
        <v>48</v>
      </c>
      <c r="B73" s="785" t="s">
        <v>532</v>
      </c>
      <c r="C73" s="785"/>
      <c r="D73" s="785"/>
      <c r="E73" s="785"/>
      <c r="F73" s="785"/>
      <c r="G73" s="785"/>
      <c r="H73" s="160">
        <v>6.9999999999999999E-4</v>
      </c>
      <c r="I73" s="161">
        <f>H73*$I$45</f>
        <v>0</v>
      </c>
      <c r="J73" s="162"/>
    </row>
    <row r="74" spans="1:10" ht="35.25" customHeight="1" x14ac:dyDescent="0.25">
      <c r="A74" s="47" t="s">
        <v>84</v>
      </c>
      <c r="B74" s="785" t="s">
        <v>533</v>
      </c>
      <c r="C74" s="785"/>
      <c r="D74" s="785"/>
      <c r="E74" s="785"/>
      <c r="F74" s="785"/>
      <c r="G74" s="785"/>
      <c r="H74" s="171">
        <v>2.8999999999999998E-3</v>
      </c>
      <c r="I74" s="161">
        <f>H74*$I$45</f>
        <v>0</v>
      </c>
      <c r="J74" s="162"/>
    </row>
    <row r="75" spans="1:10" ht="13" x14ac:dyDescent="0.3">
      <c r="A75" s="8" t="s">
        <v>86</v>
      </c>
      <c r="B75" s="478" t="s">
        <v>163</v>
      </c>
      <c r="C75" s="478"/>
      <c r="D75" s="478"/>
      <c r="E75" s="478"/>
      <c r="F75" s="478"/>
      <c r="G75" s="478"/>
      <c r="H75" s="172"/>
      <c r="I75" s="25">
        <f t="shared" ref="I75" si="0">H75*$I$45</f>
        <v>0</v>
      </c>
      <c r="J75" s="162"/>
    </row>
    <row r="76" spans="1:10" ht="13" x14ac:dyDescent="0.3">
      <c r="A76" s="480" t="s">
        <v>164</v>
      </c>
      <c r="B76" s="480"/>
      <c r="C76" s="480"/>
      <c r="D76" s="480"/>
      <c r="E76" s="480"/>
      <c r="F76" s="480"/>
      <c r="G76" s="480"/>
      <c r="H76" s="42"/>
      <c r="I76" s="43">
        <f>SUM(I71:I75)</f>
        <v>0</v>
      </c>
      <c r="J76" s="162"/>
    </row>
    <row r="77" spans="1:10" ht="13" x14ac:dyDescent="0.3">
      <c r="A77" s="8" t="s">
        <v>113</v>
      </c>
      <c r="B77" s="478" t="s">
        <v>165</v>
      </c>
      <c r="C77" s="478"/>
      <c r="D77" s="478"/>
      <c r="E77" s="478"/>
      <c r="F77" s="478"/>
      <c r="G77" s="478"/>
      <c r="H77" s="1">
        <v>0.36799999999999999</v>
      </c>
      <c r="I77" s="25">
        <f>I76*H77</f>
        <v>0</v>
      </c>
      <c r="J77" s="162"/>
    </row>
    <row r="78" spans="1:10" ht="13" x14ac:dyDescent="0.3">
      <c r="A78" s="480" t="s">
        <v>166</v>
      </c>
      <c r="B78" s="480"/>
      <c r="C78" s="480"/>
      <c r="D78" s="480"/>
      <c r="E78" s="480"/>
      <c r="F78" s="480"/>
      <c r="G78" s="480"/>
      <c r="H78" s="42"/>
      <c r="I78" s="43">
        <f>SUM(I76:I77)</f>
        <v>0</v>
      </c>
    </row>
    <row r="79" spans="1:10" ht="13" x14ac:dyDescent="0.3">
      <c r="A79" s="8"/>
      <c r="B79" s="514"/>
      <c r="C79" s="514"/>
      <c r="D79" s="514"/>
      <c r="E79" s="514"/>
      <c r="F79" s="514"/>
      <c r="G79" s="514"/>
      <c r="H79" s="514"/>
      <c r="I79" s="25"/>
    </row>
    <row r="80" spans="1:10" ht="13" x14ac:dyDescent="0.3">
      <c r="A80" s="3"/>
      <c r="B80" s="37"/>
      <c r="C80" s="37"/>
      <c r="D80" s="37"/>
      <c r="E80" s="37"/>
      <c r="F80" s="37"/>
      <c r="G80" s="37"/>
      <c r="H80" s="37"/>
      <c r="I80" s="7"/>
    </row>
    <row r="81" spans="1:9" x14ac:dyDescent="0.25">
      <c r="A81" s="781" t="s">
        <v>534</v>
      </c>
      <c r="B81" s="781"/>
      <c r="C81" s="781"/>
      <c r="D81" s="781"/>
      <c r="E81" s="781"/>
      <c r="F81" s="781"/>
      <c r="G81" s="781"/>
      <c r="H81" s="781"/>
      <c r="I81" s="781"/>
    </row>
    <row r="82" spans="1:9" x14ac:dyDescent="0.25">
      <c r="A82" s="781"/>
      <c r="B82" s="781"/>
      <c r="C82" s="781"/>
      <c r="D82" s="781"/>
      <c r="E82" s="781"/>
      <c r="F82" s="781"/>
      <c r="G82" s="781"/>
      <c r="H82" s="781"/>
      <c r="I82" s="781"/>
    </row>
    <row r="83" spans="1:9" x14ac:dyDescent="0.25">
      <c r="A83" s="781"/>
      <c r="B83" s="781"/>
      <c r="C83" s="781"/>
      <c r="D83" s="781"/>
      <c r="E83" s="781"/>
      <c r="F83" s="781"/>
      <c r="G83" s="781"/>
      <c r="H83" s="781"/>
      <c r="I83" s="781"/>
    </row>
    <row r="84" spans="1:9" x14ac:dyDescent="0.25">
      <c r="A84" s="781"/>
      <c r="B84" s="781"/>
      <c r="C84" s="781"/>
      <c r="D84" s="781"/>
      <c r="E84" s="781"/>
      <c r="F84" s="781"/>
      <c r="G84" s="781"/>
      <c r="H84" s="781"/>
      <c r="I84" s="781"/>
    </row>
    <row r="85" spans="1:9" x14ac:dyDescent="0.25">
      <c r="A85" s="781"/>
      <c r="B85" s="781"/>
      <c r="C85" s="781"/>
      <c r="D85" s="781"/>
      <c r="E85" s="781"/>
      <c r="F85" s="781"/>
      <c r="G85" s="781"/>
      <c r="H85" s="781"/>
      <c r="I85" s="781"/>
    </row>
    <row r="86" spans="1:9" ht="13" x14ac:dyDescent="0.3">
      <c r="A86" s="230"/>
      <c r="B86" s="230"/>
      <c r="C86" s="230"/>
      <c r="D86" s="230"/>
      <c r="E86" s="230"/>
      <c r="F86" s="230"/>
      <c r="G86" s="230"/>
      <c r="H86" s="230"/>
      <c r="I86" s="230"/>
    </row>
    <row r="87" spans="1:9" ht="16" thickBot="1" x14ac:dyDescent="0.35">
      <c r="A87" s="229"/>
      <c r="D87" s="230"/>
      <c r="E87" s="230"/>
      <c r="F87" s="230"/>
      <c r="G87" s="230"/>
      <c r="H87" s="230"/>
      <c r="I87" s="230"/>
    </row>
    <row r="88" spans="1:9" ht="26.5" thickBot="1" x14ac:dyDescent="0.35">
      <c r="A88" s="178" t="s">
        <v>283</v>
      </c>
      <c r="B88" s="179" t="s">
        <v>535</v>
      </c>
      <c r="C88" s="179" t="s">
        <v>536</v>
      </c>
      <c r="D88" s="230"/>
      <c r="E88" s="230"/>
      <c r="F88" s="230"/>
      <c r="G88" s="230"/>
      <c r="H88" s="230"/>
      <c r="I88" s="230"/>
    </row>
    <row r="89" spans="1:9" ht="13.5" thickBot="1" x14ac:dyDescent="0.35">
      <c r="A89" s="180" t="s">
        <v>447</v>
      </c>
      <c r="B89" s="181">
        <v>8.3299999999999999E-2</v>
      </c>
      <c r="C89" s="181">
        <v>6.9410000000000001E-3</v>
      </c>
      <c r="D89" s="230"/>
      <c r="E89" s="230"/>
      <c r="F89" s="230"/>
      <c r="G89" s="230"/>
      <c r="H89" s="230"/>
      <c r="I89" s="230"/>
    </row>
    <row r="90" spans="1:9" ht="38" thickBot="1" x14ac:dyDescent="0.35">
      <c r="A90" s="180" t="s">
        <v>537</v>
      </c>
      <c r="B90" s="181">
        <v>2.7799999999999998E-2</v>
      </c>
      <c r="C90" s="181">
        <v>2.3159999999999999E-3</v>
      </c>
      <c r="D90" s="230"/>
      <c r="E90" s="230"/>
      <c r="F90" s="230"/>
      <c r="G90" s="230"/>
      <c r="H90" s="230"/>
      <c r="I90" s="230"/>
    </row>
    <row r="91" spans="1:9" ht="26.5" thickBot="1" x14ac:dyDescent="0.35">
      <c r="A91" s="182" t="s">
        <v>538</v>
      </c>
      <c r="B91" s="183">
        <v>0.1111</v>
      </c>
      <c r="C91" s="183">
        <v>9.2569999999999996E-3</v>
      </c>
      <c r="D91" s="230"/>
      <c r="E91" s="230"/>
      <c r="F91" s="230"/>
      <c r="G91" s="230"/>
      <c r="H91" s="230"/>
      <c r="I91" s="230"/>
    </row>
    <row r="92" spans="1:9" ht="84.75" customHeight="1" thickBot="1" x14ac:dyDescent="0.35">
      <c r="A92" s="182" t="s">
        <v>5</v>
      </c>
      <c r="B92" s="782">
        <v>0.12039999999999999</v>
      </c>
      <c r="C92" s="783"/>
      <c r="D92" s="230"/>
      <c r="E92" s="230"/>
      <c r="F92" s="230"/>
      <c r="G92" s="230"/>
      <c r="H92" s="230"/>
      <c r="I92" s="230"/>
    </row>
    <row r="93" spans="1:9" ht="69" customHeight="1" x14ac:dyDescent="0.3">
      <c r="A93" s="177"/>
      <c r="D93" s="230"/>
      <c r="E93" s="230"/>
      <c r="F93" s="230"/>
      <c r="G93" s="230"/>
      <c r="H93" s="230"/>
      <c r="I93" s="230"/>
    </row>
    <row r="94" spans="1:9" ht="15.5" x14ac:dyDescent="0.25">
      <c r="A94" s="784" t="s">
        <v>539</v>
      </c>
      <c r="B94" s="784"/>
      <c r="C94" s="784"/>
      <c r="D94" s="784"/>
      <c r="E94" s="784"/>
      <c r="F94" s="784"/>
      <c r="G94" s="784"/>
      <c r="H94" s="784"/>
      <c r="I94" s="784"/>
    </row>
    <row r="95" spans="1:9" ht="15.5" x14ac:dyDescent="0.25">
      <c r="A95" s="784" t="s">
        <v>540</v>
      </c>
      <c r="B95" s="784"/>
      <c r="C95" s="784"/>
      <c r="D95" s="784"/>
      <c r="E95" s="784"/>
      <c r="F95" s="784"/>
      <c r="G95" s="784"/>
      <c r="H95" s="784"/>
      <c r="I95" s="784"/>
    </row>
    <row r="96" spans="1:9" ht="13" x14ac:dyDescent="0.3">
      <c r="A96" s="3"/>
      <c r="B96" s="37"/>
      <c r="C96" s="37"/>
      <c r="D96" s="37"/>
      <c r="E96" s="37"/>
      <c r="F96" s="37"/>
      <c r="G96" s="37"/>
      <c r="H96" s="37"/>
      <c r="I96" s="7"/>
    </row>
    <row r="97" spans="1:9" ht="13" x14ac:dyDescent="0.3">
      <c r="A97" s="3"/>
      <c r="B97" s="37"/>
      <c r="C97" s="37"/>
      <c r="D97" s="37"/>
      <c r="E97" s="37"/>
      <c r="F97" s="37"/>
      <c r="G97" s="37"/>
      <c r="H97" s="37"/>
      <c r="I97" s="7"/>
    </row>
    <row r="98" spans="1:9" x14ac:dyDescent="0.25">
      <c r="A98" s="159" t="s">
        <v>541</v>
      </c>
    </row>
  </sheetData>
  <mergeCells count="52">
    <mergeCell ref="A81:I85"/>
    <mergeCell ref="B92:C92"/>
    <mergeCell ref="A94:I94"/>
    <mergeCell ref="A95:I95"/>
    <mergeCell ref="B65:I65"/>
    <mergeCell ref="B74:G74"/>
    <mergeCell ref="B77:G77"/>
    <mergeCell ref="A78:G78"/>
    <mergeCell ref="B79:H79"/>
    <mergeCell ref="B69:G69"/>
    <mergeCell ref="B70:G70"/>
    <mergeCell ref="B71:G71"/>
    <mergeCell ref="B72:G72"/>
    <mergeCell ref="B73:G73"/>
    <mergeCell ref="B75:G75"/>
    <mergeCell ref="A76:G76"/>
    <mergeCell ref="A25:G25"/>
    <mergeCell ref="B36:G36"/>
    <mergeCell ref="B37:G37"/>
    <mergeCell ref="A9:I10"/>
    <mergeCell ref="A16:I16"/>
    <mergeCell ref="A19:I19"/>
    <mergeCell ref="B21:H21"/>
    <mergeCell ref="B24:H24"/>
    <mergeCell ref="A17:I17"/>
    <mergeCell ref="A12:I12"/>
    <mergeCell ref="B20:H20"/>
    <mergeCell ref="A56:J60"/>
    <mergeCell ref="A62:A63"/>
    <mergeCell ref="A65:A66"/>
    <mergeCell ref="B22:H22"/>
    <mergeCell ref="B32:G32"/>
    <mergeCell ref="B34:G34"/>
    <mergeCell ref="B35:G35"/>
    <mergeCell ref="B31:G31"/>
    <mergeCell ref="B33:G33"/>
    <mergeCell ref="A38:G38"/>
    <mergeCell ref="A40:A46"/>
    <mergeCell ref="A48:A49"/>
    <mergeCell ref="A51:A52"/>
    <mergeCell ref="B51:I51"/>
    <mergeCell ref="A30:I30"/>
    <mergeCell ref="A23:G23"/>
    <mergeCell ref="A1:I1"/>
    <mergeCell ref="A13:I13"/>
    <mergeCell ref="A14:I14"/>
    <mergeCell ref="A15:I15"/>
    <mergeCell ref="A4:I4"/>
    <mergeCell ref="A5:I5"/>
    <mergeCell ref="A11:I11"/>
    <mergeCell ref="A6:I7"/>
    <mergeCell ref="A8:I8"/>
  </mergeCells>
  <hyperlinks>
    <hyperlink ref="A98" r:id="rId1" xr:uid="{9EC783FA-FED9-4C1E-8C5E-3810928629AF}"/>
  </hyperlinks>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456664-E17F-4C1C-B42F-1A45E7CEC74E}">
  <sheetPr>
    <tabColor rgb="FF00B0F0"/>
  </sheetPr>
  <dimension ref="A1:Q165"/>
  <sheetViews>
    <sheetView tabSelected="1" zoomScale="115" zoomScaleNormal="115" workbookViewId="0">
      <selection activeCell="K15" sqref="K15"/>
    </sheetView>
  </sheetViews>
  <sheetFormatPr defaultRowHeight="12.5" x14ac:dyDescent="0.25"/>
  <cols>
    <col min="1" max="1" width="7.453125" style="41" bestFit="1" customWidth="1"/>
    <col min="2" max="2" width="6.453125" style="41" customWidth="1"/>
    <col min="3" max="3" width="42.7265625" style="223" customWidth="1"/>
    <col min="4" max="4" width="8.7265625" style="41"/>
    <col min="5" max="5" width="9.453125" style="40" customWidth="1"/>
    <col min="6" max="6" width="13.453125" style="40" bestFit="1" customWidth="1"/>
    <col min="7" max="7" width="13.453125" style="40" customWidth="1"/>
    <col min="8" max="8" width="13.1796875" style="40" customWidth="1"/>
    <col min="9" max="9" width="12.54296875" style="41" customWidth="1"/>
    <col min="10" max="10" width="9.453125" style="41" bestFit="1" customWidth="1"/>
    <col min="11" max="11" width="17.7265625" customWidth="1"/>
    <col min="12" max="12" width="23.81640625" customWidth="1"/>
    <col min="13" max="13" width="11.453125" bestFit="1" customWidth="1"/>
    <col min="14" max="14" width="11.7265625" bestFit="1" customWidth="1"/>
    <col min="15" max="15" width="9.1796875" bestFit="1" customWidth="1"/>
    <col min="16" max="16" width="16.81640625" bestFit="1" customWidth="1"/>
    <col min="17" max="17" width="11.453125" bestFit="1" customWidth="1"/>
  </cols>
  <sheetData>
    <row r="1" spans="1:17" ht="52" x14ac:dyDescent="0.25">
      <c r="A1" s="295" t="s">
        <v>12</v>
      </c>
      <c r="B1" s="296" t="s">
        <v>13</v>
      </c>
      <c r="C1" s="296" t="s">
        <v>14</v>
      </c>
      <c r="D1" s="296" t="s">
        <v>15</v>
      </c>
      <c r="E1" s="296" t="s">
        <v>16</v>
      </c>
      <c r="F1" s="297" t="s">
        <v>17</v>
      </c>
      <c r="G1" s="297" t="s">
        <v>18</v>
      </c>
      <c r="H1" s="296" t="s">
        <v>19</v>
      </c>
      <c r="I1" s="296" t="s">
        <v>20</v>
      </c>
      <c r="J1" s="296" t="s">
        <v>21</v>
      </c>
      <c r="K1" s="298" t="s">
        <v>22</v>
      </c>
      <c r="L1" s="231"/>
      <c r="M1" s="231"/>
    </row>
    <row r="2" spans="1:17" ht="18.5" x14ac:dyDescent="0.25">
      <c r="A2" s="292"/>
      <c r="B2" s="462" t="s">
        <v>23</v>
      </c>
      <c r="C2" s="462"/>
      <c r="D2" s="462"/>
      <c r="E2" s="462"/>
      <c r="F2" s="462"/>
      <c r="G2" s="462"/>
      <c r="H2" s="462"/>
      <c r="I2" s="462"/>
      <c r="J2" s="462"/>
      <c r="K2" s="463"/>
      <c r="L2" s="231"/>
      <c r="M2" s="231"/>
    </row>
    <row r="3" spans="1:17" ht="34" customHeight="1" x14ac:dyDescent="0.25">
      <c r="A3" s="459">
        <v>1</v>
      </c>
      <c r="B3" s="36">
        <v>1</v>
      </c>
      <c r="C3" s="288" t="s">
        <v>24</v>
      </c>
      <c r="D3" s="36">
        <v>24023</v>
      </c>
      <c r="E3" s="289" t="s">
        <v>25</v>
      </c>
      <c r="F3" s="232" t="s">
        <v>26</v>
      </c>
      <c r="G3" s="232">
        <v>7834</v>
      </c>
      <c r="H3" s="36">
        <v>60</v>
      </c>
      <c r="I3" s="294">
        <f>TRUNC(H3*G3,2)</f>
        <v>470040</v>
      </c>
      <c r="J3" s="290">
        <f>'Limpeza - Item 1'!I186</f>
        <v>11.11</v>
      </c>
      <c r="K3" s="299">
        <f>TRUNC(J3*I3,2)</f>
        <v>5222144.4000000004</v>
      </c>
      <c r="L3" s="273"/>
      <c r="M3" s="118"/>
      <c r="O3" s="365"/>
      <c r="P3" s="366"/>
      <c r="Q3" s="118"/>
    </row>
    <row r="4" spans="1:17" ht="18.5" x14ac:dyDescent="0.25">
      <c r="A4" s="459"/>
      <c r="B4" s="462" t="s">
        <v>27</v>
      </c>
      <c r="C4" s="462"/>
      <c r="D4" s="462"/>
      <c r="E4" s="462"/>
      <c r="F4" s="462"/>
      <c r="G4" s="462"/>
      <c r="H4" s="462"/>
      <c r="I4" s="462"/>
      <c r="J4" s="462"/>
      <c r="K4" s="463"/>
      <c r="M4" s="118"/>
      <c r="P4" s="273"/>
    </row>
    <row r="5" spans="1:17" ht="29" customHeight="1" x14ac:dyDescent="0.25">
      <c r="A5" s="459"/>
      <c r="B5" s="36">
        <v>2</v>
      </c>
      <c r="C5" s="288" t="s">
        <v>554</v>
      </c>
      <c r="D5" s="36">
        <v>3417</v>
      </c>
      <c r="E5" s="289" t="s">
        <v>25</v>
      </c>
      <c r="F5" s="291" t="s">
        <v>32</v>
      </c>
      <c r="G5" s="450">
        <v>8555</v>
      </c>
      <c r="H5" s="36">
        <v>10</v>
      </c>
      <c r="I5" s="294">
        <f>TRUNC(H5*G5,2)</f>
        <v>85550</v>
      </c>
      <c r="J5" s="290">
        <f>'Controle de pragas - Item 2'!I181</f>
        <v>0.33</v>
      </c>
      <c r="K5" s="299">
        <f>TRUNC(J5*I5,2)</f>
        <v>28231.5</v>
      </c>
      <c r="M5" s="118"/>
      <c r="P5" s="273"/>
    </row>
    <row r="6" spans="1:17" ht="29" customHeight="1" x14ac:dyDescent="0.25">
      <c r="A6" s="459"/>
      <c r="B6" s="36">
        <v>3</v>
      </c>
      <c r="C6" s="288" t="s">
        <v>30</v>
      </c>
      <c r="D6" s="36">
        <v>25259</v>
      </c>
      <c r="E6" s="232" t="s">
        <v>31</v>
      </c>
      <c r="F6" s="291" t="s">
        <v>32</v>
      </c>
      <c r="G6" s="291">
        <v>8</v>
      </c>
      <c r="H6" s="36">
        <v>60</v>
      </c>
      <c r="I6" s="430">
        <f>TRUNC(H6*G6,2)</f>
        <v>480</v>
      </c>
      <c r="J6" s="290">
        <f>'Remanejamento - Item 3'!I182</f>
        <v>265.63</v>
      </c>
      <c r="K6" s="299">
        <f t="shared" ref="K6" si="0">TRUNC(J6*I6,2)</f>
        <v>127502.39999999999</v>
      </c>
      <c r="M6" s="118"/>
      <c r="P6" s="273"/>
    </row>
    <row r="7" spans="1:17" ht="30" customHeight="1" x14ac:dyDescent="0.25">
      <c r="A7" s="459"/>
      <c r="B7" s="36">
        <v>4</v>
      </c>
      <c r="C7" s="288" t="s">
        <v>545</v>
      </c>
      <c r="D7" s="36">
        <v>24325</v>
      </c>
      <c r="E7" s="232" t="s">
        <v>31</v>
      </c>
      <c r="F7" s="291" t="s">
        <v>32</v>
      </c>
      <c r="G7" s="291">
        <v>5</v>
      </c>
      <c r="H7" s="36">
        <v>60</v>
      </c>
      <c r="I7" s="430">
        <f t="shared" ref="I7" si="1">TRUNC(H7*G7,2)</f>
        <v>300</v>
      </c>
      <c r="J7" s="290">
        <f>'Jardinagem - Item4'!I187</f>
        <v>351.41</v>
      </c>
      <c r="K7" s="299">
        <f>TRUNC(J7*I7,2)</f>
        <v>105423</v>
      </c>
      <c r="M7" s="118"/>
      <c r="N7" s="273"/>
      <c r="P7" s="273"/>
    </row>
    <row r="8" spans="1:17" ht="20.149999999999999" customHeight="1" thickBot="1" x14ac:dyDescent="0.3">
      <c r="A8" s="460" t="s">
        <v>544</v>
      </c>
      <c r="B8" s="461"/>
      <c r="C8" s="461"/>
      <c r="D8" s="461"/>
      <c r="E8" s="461"/>
      <c r="F8" s="461"/>
      <c r="G8" s="461"/>
      <c r="H8" s="461"/>
      <c r="I8" s="461"/>
      <c r="J8" s="300"/>
      <c r="K8" s="431">
        <f>TRUNC(SUM(K3:K7),2)</f>
        <v>5483301.2999999998</v>
      </c>
      <c r="L8" s="273"/>
    </row>
    <row r="14" spans="1:17" x14ac:dyDescent="0.25">
      <c r="A14" s="266"/>
      <c r="K14" t="s">
        <v>569</v>
      </c>
    </row>
    <row r="15" spans="1:17" x14ac:dyDescent="0.25">
      <c r="L15" s="273"/>
    </row>
    <row r="24" spans="1:1" x14ac:dyDescent="0.25">
      <c r="A24" s="267"/>
    </row>
    <row r="25" spans="1:1" x14ac:dyDescent="0.25">
      <c r="A25" s="267"/>
    </row>
    <row r="49" spans="1:3" x14ac:dyDescent="0.25">
      <c r="A49" s="267"/>
    </row>
    <row r="58" spans="1:3" x14ac:dyDescent="0.25">
      <c r="A58" s="266"/>
    </row>
    <row r="59" spans="1:3" x14ac:dyDescent="0.25">
      <c r="A59" s="266"/>
    </row>
    <row r="60" spans="1:3" x14ac:dyDescent="0.25">
      <c r="A60" s="266"/>
    </row>
    <row r="61" spans="1:3" x14ac:dyDescent="0.25">
      <c r="A61" s="266"/>
      <c r="C61" s="272"/>
    </row>
    <row r="66" spans="1:1" ht="13" x14ac:dyDescent="0.25">
      <c r="A66" s="268"/>
    </row>
    <row r="70" spans="1:1" ht="13" x14ac:dyDescent="0.25">
      <c r="A70" s="268"/>
    </row>
    <row r="71" spans="1:1" ht="13" x14ac:dyDescent="0.25">
      <c r="A71" s="268"/>
    </row>
    <row r="73" spans="1:1" x14ac:dyDescent="0.25">
      <c r="A73" s="266"/>
    </row>
    <row r="130" spans="1:11" x14ac:dyDescent="0.25">
      <c r="K130" s="200"/>
    </row>
    <row r="131" spans="1:11" s="200" customFormat="1" x14ac:dyDescent="0.25">
      <c r="A131" s="41"/>
      <c r="B131" s="41"/>
      <c r="C131" s="223"/>
      <c r="D131" s="41"/>
      <c r="E131" s="40"/>
      <c r="F131" s="40"/>
      <c r="G131" s="40"/>
      <c r="H131" s="40"/>
      <c r="I131" s="41"/>
      <c r="J131" s="41"/>
      <c r="K131"/>
    </row>
    <row r="157" spans="1:11" x14ac:dyDescent="0.25">
      <c r="A157" s="40"/>
      <c r="B157" s="40"/>
      <c r="D157" s="40"/>
      <c r="I157" s="40"/>
      <c r="J157" s="40"/>
      <c r="K157" s="231"/>
    </row>
    <row r="158" spans="1:11" s="231" customFormat="1" x14ac:dyDescent="0.25">
      <c r="A158" s="40"/>
      <c r="B158" s="40"/>
      <c r="C158" s="223"/>
      <c r="D158" s="40"/>
      <c r="E158" s="40"/>
      <c r="F158" s="40"/>
      <c r="G158" s="40"/>
      <c r="H158" s="40"/>
      <c r="I158" s="40"/>
      <c r="J158" s="40"/>
    </row>
    <row r="159" spans="1:11" s="231" customFormat="1" x14ac:dyDescent="0.25">
      <c r="A159" s="40"/>
      <c r="B159" s="40"/>
      <c r="C159" s="223"/>
      <c r="D159" s="40"/>
      <c r="E159" s="40"/>
      <c r="F159" s="40"/>
      <c r="G159" s="40"/>
      <c r="H159" s="40"/>
      <c r="I159" s="40"/>
      <c r="J159" s="40"/>
    </row>
    <row r="160" spans="1:11" s="231" customFormat="1" x14ac:dyDescent="0.25">
      <c r="A160" s="40"/>
      <c r="B160" s="40"/>
      <c r="C160" s="223"/>
      <c r="D160" s="40"/>
      <c r="E160" s="40"/>
      <c r="F160" s="40"/>
      <c r="G160" s="40"/>
      <c r="H160" s="40"/>
      <c r="I160" s="40"/>
      <c r="J160" s="40"/>
    </row>
    <row r="161" spans="1:11" s="231" customFormat="1" x14ac:dyDescent="0.25">
      <c r="A161" s="40"/>
      <c r="B161" s="40"/>
      <c r="C161" s="223"/>
      <c r="D161" s="40"/>
      <c r="E161" s="40"/>
      <c r="F161" s="40"/>
      <c r="G161" s="40"/>
      <c r="H161" s="40"/>
      <c r="I161" s="40"/>
      <c r="J161" s="40"/>
    </row>
    <row r="162" spans="1:11" s="231" customFormat="1" x14ac:dyDescent="0.25">
      <c r="A162" s="40"/>
      <c r="B162" s="40"/>
      <c r="C162" s="223"/>
      <c r="D162" s="40"/>
      <c r="E162" s="40"/>
      <c r="F162" s="40"/>
      <c r="G162" s="40"/>
      <c r="H162" s="40"/>
      <c r="I162" s="40"/>
      <c r="J162" s="40"/>
    </row>
    <row r="163" spans="1:11" s="231" customFormat="1" x14ac:dyDescent="0.25">
      <c r="A163" s="40"/>
      <c r="B163" s="40"/>
      <c r="C163" s="223"/>
      <c r="D163" s="40"/>
      <c r="E163" s="40"/>
      <c r="F163" s="40"/>
      <c r="G163" s="40"/>
      <c r="H163" s="40"/>
      <c r="I163" s="40"/>
      <c r="J163" s="40"/>
    </row>
    <row r="164" spans="1:11" s="231" customFormat="1" ht="13" x14ac:dyDescent="0.3">
      <c r="A164" s="269"/>
      <c r="B164" s="184"/>
      <c r="C164" s="271"/>
      <c r="D164" s="184"/>
      <c r="E164" s="270"/>
      <c r="F164" s="270"/>
      <c r="G164" s="270"/>
      <c r="H164" s="270"/>
      <c r="I164" s="184"/>
      <c r="J164" s="184"/>
      <c r="K164" s="10"/>
    </row>
    <row r="165" spans="1:11" s="10" customFormat="1" ht="13" x14ac:dyDescent="0.3">
      <c r="A165" s="261"/>
      <c r="B165" s="41"/>
      <c r="C165" s="223"/>
      <c r="D165" s="41"/>
      <c r="E165" s="40"/>
      <c r="F165" s="40"/>
      <c r="G165" s="40"/>
      <c r="H165" s="40"/>
      <c r="I165" s="41"/>
      <c r="J165" s="41"/>
      <c r="K165"/>
    </row>
  </sheetData>
  <mergeCells count="4">
    <mergeCell ref="A3:A7"/>
    <mergeCell ref="A8:I8"/>
    <mergeCell ref="B2:K2"/>
    <mergeCell ref="B4:K4"/>
  </mergeCells>
  <phoneticPr fontId="3" type="noConversion"/>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13"/>
  </sheetPr>
  <dimension ref="A1:AB224"/>
  <sheetViews>
    <sheetView zoomScale="85" zoomScaleNormal="85" workbookViewId="0">
      <selection activeCell="A3" sqref="A3:F3"/>
    </sheetView>
  </sheetViews>
  <sheetFormatPr defaultRowHeight="12.5" outlineLevelRow="1" x14ac:dyDescent="0.25"/>
  <cols>
    <col min="1" max="1" width="7.7265625" customWidth="1"/>
    <col min="2" max="2" width="15.26953125" customWidth="1"/>
    <col min="3" max="3" width="13.7265625" bestFit="1" customWidth="1"/>
    <col min="4" max="4" width="20.54296875" customWidth="1"/>
    <col min="5" max="5" width="17.7265625" customWidth="1"/>
    <col min="6" max="6" width="12.81640625" customWidth="1"/>
    <col min="7" max="7" width="12.1796875" customWidth="1"/>
    <col min="8" max="8" width="17.453125" customWidth="1"/>
    <col min="9" max="9" width="21.81640625" customWidth="1"/>
    <col min="10" max="10" width="7.81640625" customWidth="1"/>
    <col min="11" max="17" width="20.453125" hidden="1" customWidth="1"/>
    <col min="18" max="18" width="8.26953125" customWidth="1"/>
    <col min="19" max="19" width="17.26953125" hidden="1" customWidth="1"/>
    <col min="20" max="25" width="0" hidden="1" customWidth="1"/>
    <col min="26" max="26" width="34.54296875" customWidth="1"/>
    <col min="27" max="27" width="16" bestFit="1" customWidth="1"/>
    <col min="29" max="29" width="15.453125" bestFit="1" customWidth="1"/>
  </cols>
  <sheetData>
    <row r="1" spans="1:27" ht="13.5" thickBot="1" x14ac:dyDescent="0.35">
      <c r="A1" s="487" t="s">
        <v>33</v>
      </c>
      <c r="B1" s="488"/>
      <c r="C1" s="488"/>
      <c r="D1" s="488"/>
      <c r="E1" s="488"/>
      <c r="F1" s="488"/>
      <c r="G1" s="488"/>
      <c r="H1" s="488"/>
      <c r="I1" s="527"/>
      <c r="K1" s="487" t="s">
        <v>34</v>
      </c>
      <c r="L1" s="488"/>
      <c r="M1" s="488"/>
      <c r="N1" s="488"/>
      <c r="O1" s="488"/>
      <c r="P1" s="488"/>
      <c r="Q1" s="488"/>
      <c r="R1" s="3"/>
      <c r="S1" s="487" t="s">
        <v>34</v>
      </c>
      <c r="T1" s="488"/>
      <c r="U1" s="488"/>
      <c r="V1" s="488"/>
      <c r="W1" s="488"/>
      <c r="X1" s="488"/>
      <c r="Y1" s="488"/>
      <c r="Z1" s="488"/>
      <c r="AA1" s="527"/>
    </row>
    <row r="2" spans="1:27" x14ac:dyDescent="0.25">
      <c r="A2" s="319"/>
      <c r="B2" s="251"/>
      <c r="C2" s="251"/>
      <c r="D2" s="251"/>
      <c r="E2" s="251"/>
      <c r="F2" s="251"/>
      <c r="G2" s="251"/>
      <c r="H2" s="251"/>
      <c r="I2" s="320"/>
      <c r="K2" s="319"/>
      <c r="L2" s="251"/>
      <c r="M2" s="251"/>
      <c r="N2" s="251"/>
      <c r="O2" s="251"/>
      <c r="P2" s="251"/>
      <c r="Q2" s="251"/>
      <c r="R2" s="251"/>
      <c r="S2" s="319"/>
      <c r="T2" s="251"/>
      <c r="U2" s="251"/>
      <c r="V2" s="251"/>
      <c r="W2" s="251"/>
      <c r="X2" s="251"/>
      <c r="Y2" s="251"/>
      <c r="Z2" s="251"/>
      <c r="AA2" s="320"/>
    </row>
    <row r="3" spans="1:27" ht="15" customHeight="1" x14ac:dyDescent="0.25">
      <c r="A3" s="554" t="s">
        <v>35</v>
      </c>
      <c r="B3" s="490"/>
      <c r="C3" s="490"/>
      <c r="D3" s="490"/>
      <c r="E3" s="490"/>
      <c r="F3" s="490"/>
      <c r="G3" s="251"/>
      <c r="H3" s="251"/>
      <c r="I3" s="320"/>
      <c r="K3" s="489" t="s">
        <v>36</v>
      </c>
      <c r="L3" s="490"/>
      <c r="M3" s="490"/>
      <c r="N3" s="490"/>
      <c r="O3" s="490"/>
      <c r="P3" s="490"/>
      <c r="Q3" s="251"/>
      <c r="R3" s="251"/>
      <c r="S3" s="489" t="s">
        <v>36</v>
      </c>
      <c r="T3" s="490"/>
      <c r="U3" s="490"/>
      <c r="V3" s="490"/>
      <c r="W3" s="490"/>
      <c r="X3" s="490"/>
      <c r="Y3" s="251"/>
      <c r="Z3" s="251"/>
      <c r="AA3" s="320"/>
    </row>
    <row r="4" spans="1:27" ht="15" customHeight="1" x14ac:dyDescent="0.25">
      <c r="A4" s="489" t="s">
        <v>37</v>
      </c>
      <c r="B4" s="490"/>
      <c r="C4" s="490"/>
      <c r="D4" s="490"/>
      <c r="E4" s="490"/>
      <c r="F4" s="490"/>
      <c r="G4" s="251"/>
      <c r="H4" s="251"/>
      <c r="I4" s="320"/>
      <c r="K4" s="489" t="s">
        <v>37</v>
      </c>
      <c r="L4" s="490"/>
      <c r="M4" s="490"/>
      <c r="N4" s="490"/>
      <c r="O4" s="490"/>
      <c r="P4" s="490"/>
      <c r="Q4" s="251"/>
      <c r="R4" s="251"/>
      <c r="S4" s="489" t="s">
        <v>37</v>
      </c>
      <c r="T4" s="490"/>
      <c r="U4" s="490"/>
      <c r="V4" s="490"/>
      <c r="W4" s="490"/>
      <c r="X4" s="490"/>
      <c r="Y4" s="251"/>
      <c r="Z4" s="251"/>
      <c r="AA4" s="320"/>
    </row>
    <row r="5" spans="1:27" ht="13" x14ac:dyDescent="0.3">
      <c r="A5" s="70"/>
      <c r="B5" s="10"/>
      <c r="C5" s="10"/>
      <c r="D5" s="10"/>
      <c r="E5" s="10"/>
      <c r="F5" s="10"/>
      <c r="G5" s="10"/>
      <c r="H5" s="10"/>
      <c r="I5" s="108"/>
      <c r="K5" s="70"/>
      <c r="L5" s="10"/>
      <c r="M5" s="10"/>
      <c r="N5" s="10"/>
      <c r="O5" s="10"/>
      <c r="P5" s="10"/>
      <c r="Q5" s="10"/>
      <c r="R5" s="10"/>
      <c r="S5" s="70"/>
      <c r="T5" s="10"/>
      <c r="U5" s="10"/>
      <c r="V5" s="10"/>
      <c r="W5" s="10"/>
      <c r="X5" s="10"/>
      <c r="Y5" s="10"/>
      <c r="Z5" s="10"/>
      <c r="AA5" s="108"/>
    </row>
    <row r="6" spans="1:27" ht="13" x14ac:dyDescent="0.3">
      <c r="A6" s="489" t="s">
        <v>38</v>
      </c>
      <c r="B6" s="490"/>
      <c r="C6" s="490"/>
      <c r="D6" s="490"/>
      <c r="E6" s="490"/>
      <c r="F6" s="490"/>
      <c r="G6" s="10"/>
      <c r="H6" s="10"/>
      <c r="I6" s="108"/>
      <c r="K6" s="489" t="s">
        <v>38</v>
      </c>
      <c r="L6" s="490"/>
      <c r="M6" s="490"/>
      <c r="N6" s="490"/>
      <c r="O6" s="490"/>
      <c r="P6" s="490"/>
      <c r="Q6" s="10"/>
      <c r="R6" s="10"/>
      <c r="S6" s="489" t="s">
        <v>38</v>
      </c>
      <c r="T6" s="490"/>
      <c r="U6" s="490"/>
      <c r="V6" s="490"/>
      <c r="W6" s="490"/>
      <c r="X6" s="490"/>
      <c r="Y6" s="10"/>
      <c r="Z6" s="10"/>
      <c r="AA6" s="108"/>
    </row>
    <row r="7" spans="1:27" x14ac:dyDescent="0.25">
      <c r="A7" s="321"/>
      <c r="B7" s="252"/>
      <c r="C7" s="252"/>
      <c r="D7" s="252"/>
      <c r="E7" s="252"/>
      <c r="F7" s="252"/>
      <c r="G7" s="252"/>
      <c r="H7" s="252"/>
      <c r="I7" s="322"/>
      <c r="K7" s="321"/>
      <c r="L7" s="252"/>
      <c r="M7" s="252"/>
      <c r="N7" s="252"/>
      <c r="O7" s="252"/>
      <c r="P7" s="252"/>
      <c r="Q7" s="252"/>
      <c r="R7" s="252"/>
      <c r="S7" s="321"/>
      <c r="T7" s="252"/>
      <c r="U7" s="252"/>
      <c r="V7" s="252"/>
      <c r="W7" s="252"/>
      <c r="X7" s="252"/>
      <c r="Y7" s="252"/>
      <c r="Z7" s="252"/>
      <c r="AA7" s="322"/>
    </row>
    <row r="8" spans="1:27" ht="13" x14ac:dyDescent="0.3">
      <c r="A8" s="479" t="s">
        <v>39</v>
      </c>
      <c r="B8" s="480"/>
      <c r="C8" s="480"/>
      <c r="D8" s="480"/>
      <c r="E8" s="480"/>
      <c r="F8" s="480"/>
      <c r="G8" s="480"/>
      <c r="H8" s="480"/>
      <c r="I8" s="523"/>
      <c r="K8" s="479" t="s">
        <v>39</v>
      </c>
      <c r="L8" s="480"/>
      <c r="M8" s="480"/>
      <c r="N8" s="480"/>
      <c r="O8" s="480"/>
      <c r="P8" s="480"/>
      <c r="Q8" s="480"/>
      <c r="R8" s="3"/>
      <c r="S8" s="479" t="s">
        <v>39</v>
      </c>
      <c r="T8" s="480"/>
      <c r="U8" s="480"/>
      <c r="V8" s="480"/>
      <c r="W8" s="480"/>
      <c r="X8" s="480"/>
      <c r="Y8" s="480"/>
      <c r="Z8" s="480"/>
      <c r="AA8" s="523"/>
    </row>
    <row r="9" spans="1:27" x14ac:dyDescent="0.25">
      <c r="A9" s="324" t="s">
        <v>40</v>
      </c>
      <c r="B9" s="478" t="s">
        <v>41</v>
      </c>
      <c r="C9" s="472"/>
      <c r="D9" s="472"/>
      <c r="E9" s="472"/>
      <c r="F9" s="472"/>
      <c r="G9" s="472"/>
      <c r="H9" s="472"/>
      <c r="I9" s="325"/>
      <c r="K9" s="324" t="s">
        <v>40</v>
      </c>
      <c r="L9" s="478" t="s">
        <v>41</v>
      </c>
      <c r="M9" s="472"/>
      <c r="N9" s="472"/>
      <c r="O9" s="472"/>
      <c r="P9" s="472"/>
      <c r="Q9" s="472"/>
      <c r="R9" s="310"/>
      <c r="S9" s="324" t="s">
        <v>40</v>
      </c>
      <c r="T9" s="478" t="s">
        <v>41</v>
      </c>
      <c r="U9" s="472"/>
      <c r="V9" s="472"/>
      <c r="W9" s="472"/>
      <c r="X9" s="472"/>
      <c r="Y9" s="472"/>
      <c r="Z9" s="472"/>
      <c r="AA9" s="325"/>
    </row>
    <row r="10" spans="1:27" x14ac:dyDescent="0.25">
      <c r="A10" s="324" t="s">
        <v>42</v>
      </c>
      <c r="B10" s="478" t="s">
        <v>43</v>
      </c>
      <c r="C10" s="472"/>
      <c r="D10" s="472"/>
      <c r="E10" s="472"/>
      <c r="F10" s="472"/>
      <c r="G10" s="472"/>
      <c r="H10" s="472"/>
      <c r="I10" s="326" t="s">
        <v>44</v>
      </c>
      <c r="K10" s="324" t="s">
        <v>42</v>
      </c>
      <c r="L10" s="478" t="s">
        <v>43</v>
      </c>
      <c r="M10" s="472"/>
      <c r="N10" s="472"/>
      <c r="O10" s="472"/>
      <c r="P10" s="472"/>
      <c r="Q10" s="472"/>
      <c r="R10" s="200"/>
      <c r="S10" s="324" t="s">
        <v>42</v>
      </c>
      <c r="T10" s="478" t="s">
        <v>43</v>
      </c>
      <c r="U10" s="472"/>
      <c r="V10" s="472"/>
      <c r="W10" s="472"/>
      <c r="X10" s="472"/>
      <c r="Y10" s="472"/>
      <c r="Z10" s="472"/>
      <c r="AA10" s="326" t="s">
        <v>44</v>
      </c>
    </row>
    <row r="11" spans="1:27" x14ac:dyDescent="0.25">
      <c r="A11" s="324" t="s">
        <v>45</v>
      </c>
      <c r="B11" s="478" t="s">
        <v>46</v>
      </c>
      <c r="C11" s="478"/>
      <c r="D11" s="478"/>
      <c r="E11" s="478"/>
      <c r="F11" s="478"/>
      <c r="G11" s="478"/>
      <c r="H11" s="478"/>
      <c r="I11" s="326" t="s">
        <v>47</v>
      </c>
      <c r="K11" s="324" t="s">
        <v>45</v>
      </c>
      <c r="L11" s="478" t="s">
        <v>46</v>
      </c>
      <c r="M11" s="478"/>
      <c r="N11" s="478"/>
      <c r="O11" s="478"/>
      <c r="P11" s="478"/>
      <c r="Q11" s="478"/>
      <c r="R11" s="200"/>
      <c r="S11" s="324" t="s">
        <v>45</v>
      </c>
      <c r="T11" s="478" t="s">
        <v>46</v>
      </c>
      <c r="U11" s="478"/>
      <c r="V11" s="478"/>
      <c r="W11" s="478"/>
      <c r="X11" s="478"/>
      <c r="Y11" s="478"/>
      <c r="Z11" s="478"/>
      <c r="AA11" s="326" t="s">
        <v>47</v>
      </c>
    </row>
    <row r="12" spans="1:27" x14ac:dyDescent="0.25">
      <c r="A12" s="324" t="s">
        <v>48</v>
      </c>
      <c r="B12" s="478" t="s">
        <v>49</v>
      </c>
      <c r="C12" s="472"/>
      <c r="D12" s="472"/>
      <c r="E12" s="472"/>
      <c r="F12" s="472"/>
      <c r="G12" s="472"/>
      <c r="H12" s="472"/>
      <c r="I12" s="327">
        <v>60</v>
      </c>
      <c r="K12" s="324" t="s">
        <v>48</v>
      </c>
      <c r="L12" s="478" t="s">
        <v>49</v>
      </c>
      <c r="M12" s="472"/>
      <c r="N12" s="472"/>
      <c r="O12" s="472"/>
      <c r="P12" s="472"/>
      <c r="Q12" s="472"/>
      <c r="R12" s="251"/>
      <c r="S12" s="324" t="s">
        <v>48</v>
      </c>
      <c r="T12" s="478" t="s">
        <v>49</v>
      </c>
      <c r="U12" s="472"/>
      <c r="V12" s="472"/>
      <c r="W12" s="472"/>
      <c r="X12" s="472"/>
      <c r="Y12" s="472"/>
      <c r="Z12" s="472"/>
      <c r="AA12" s="327">
        <v>60</v>
      </c>
    </row>
    <row r="13" spans="1:27" x14ac:dyDescent="0.25">
      <c r="A13" s="319"/>
      <c r="B13" s="252"/>
      <c r="C13" s="252"/>
      <c r="D13" s="252"/>
      <c r="E13" s="252"/>
      <c r="F13" s="252"/>
      <c r="G13" s="252"/>
      <c r="H13" s="251"/>
      <c r="I13" s="320"/>
      <c r="K13" s="319"/>
      <c r="L13" s="252"/>
      <c r="M13" s="252"/>
      <c r="N13" s="252"/>
      <c r="O13" s="252"/>
      <c r="P13" s="252"/>
      <c r="Q13" s="252"/>
      <c r="R13" s="251"/>
      <c r="S13" s="319"/>
      <c r="T13" s="252"/>
      <c r="U13" s="252"/>
      <c r="V13" s="252"/>
      <c r="W13" s="252"/>
      <c r="X13" s="252"/>
      <c r="Y13" s="252"/>
      <c r="Z13" s="251"/>
      <c r="AA13" s="320"/>
    </row>
    <row r="14" spans="1:27" ht="13" x14ac:dyDescent="0.3">
      <c r="A14" s="479" t="s">
        <v>50</v>
      </c>
      <c r="B14" s="480"/>
      <c r="C14" s="480"/>
      <c r="D14" s="480"/>
      <c r="E14" s="480"/>
      <c r="F14" s="480"/>
      <c r="G14" s="480"/>
      <c r="H14" s="480"/>
      <c r="I14" s="523"/>
      <c r="K14" s="479" t="s">
        <v>50</v>
      </c>
      <c r="L14" s="480"/>
      <c r="M14" s="480"/>
      <c r="N14" s="480"/>
      <c r="O14" s="480"/>
      <c r="P14" s="480"/>
      <c r="Q14" s="480"/>
      <c r="R14" s="3"/>
      <c r="S14" s="479" t="s">
        <v>50</v>
      </c>
      <c r="T14" s="480"/>
      <c r="U14" s="480"/>
      <c r="V14" s="480"/>
      <c r="W14" s="480"/>
      <c r="X14" s="480"/>
      <c r="Y14" s="480"/>
      <c r="Z14" s="480"/>
      <c r="AA14" s="523"/>
    </row>
    <row r="15" spans="1:27" ht="13" x14ac:dyDescent="0.3">
      <c r="A15" s="482" t="s">
        <v>51</v>
      </c>
      <c r="B15" s="477"/>
      <c r="C15" s="477" t="s">
        <v>52</v>
      </c>
      <c r="D15" s="477"/>
      <c r="E15" s="552" t="s">
        <v>53</v>
      </c>
      <c r="F15" s="552"/>
      <c r="G15" s="552"/>
      <c r="H15" s="552"/>
      <c r="I15" s="528"/>
      <c r="K15" s="482" t="s">
        <v>51</v>
      </c>
      <c r="L15" s="477"/>
      <c r="M15" s="477" t="s">
        <v>52</v>
      </c>
      <c r="N15" s="477"/>
      <c r="O15" s="477" t="s">
        <v>53</v>
      </c>
      <c r="P15" s="477"/>
      <c r="Q15" s="477"/>
      <c r="R15" s="3"/>
      <c r="S15" s="482" t="s">
        <v>51</v>
      </c>
      <c r="T15" s="477"/>
      <c r="U15" s="477" t="s">
        <v>52</v>
      </c>
      <c r="V15" s="477"/>
      <c r="W15" s="477" t="s">
        <v>53</v>
      </c>
      <c r="X15" s="477"/>
      <c r="Y15" s="477"/>
      <c r="Z15" s="477"/>
      <c r="AA15" s="528"/>
    </row>
    <row r="16" spans="1:27" s="50" customFormat="1" ht="25.5" customHeight="1" x14ac:dyDescent="0.25">
      <c r="A16" s="520" t="s">
        <v>54</v>
      </c>
      <c r="B16" s="521"/>
      <c r="C16" s="522"/>
      <c r="D16" s="553"/>
      <c r="E16" s="555" t="s">
        <v>18</v>
      </c>
      <c r="F16" s="555"/>
      <c r="G16" s="555"/>
      <c r="H16" s="555"/>
      <c r="I16" s="374">
        <v>9</v>
      </c>
      <c r="K16" s="520" t="s">
        <v>54</v>
      </c>
      <c r="L16" s="521"/>
      <c r="M16" s="522"/>
      <c r="N16" s="521"/>
      <c r="P16" s="317"/>
      <c r="Q16" s="317"/>
      <c r="S16" s="520" t="s">
        <v>54</v>
      </c>
      <c r="T16" s="521"/>
      <c r="U16" s="522"/>
      <c r="V16" s="521"/>
      <c r="X16" s="317"/>
      <c r="Y16" s="317"/>
      <c r="Z16" s="318" t="s">
        <v>18</v>
      </c>
      <c r="AA16" s="126">
        <v>1</v>
      </c>
    </row>
    <row r="17" spans="1:27" ht="15" customHeight="1" x14ac:dyDescent="0.25">
      <c r="A17" s="330"/>
      <c r="B17" s="255"/>
      <c r="C17" s="40"/>
      <c r="D17" s="256"/>
      <c r="E17" s="41"/>
      <c r="F17" s="257"/>
      <c r="G17" s="257"/>
      <c r="H17" s="257"/>
      <c r="I17" s="331"/>
      <c r="K17" s="330"/>
      <c r="L17" s="255"/>
      <c r="M17" s="40"/>
      <c r="N17" s="256"/>
      <c r="O17" s="41"/>
      <c r="P17" s="257"/>
      <c r="Q17" s="257"/>
      <c r="R17" s="257"/>
      <c r="S17" s="330"/>
      <c r="T17" s="255"/>
      <c r="U17" s="40"/>
      <c r="V17" s="256"/>
      <c r="W17" s="41"/>
      <c r="X17" s="257"/>
      <c r="Y17" s="257"/>
      <c r="Z17" s="257"/>
      <c r="AA17" s="331"/>
    </row>
    <row r="18" spans="1:27" ht="15" customHeight="1" x14ac:dyDescent="0.25">
      <c r="A18" s="332" t="s">
        <v>55</v>
      </c>
      <c r="B18" s="255"/>
      <c r="C18" s="40"/>
      <c r="D18" s="256"/>
      <c r="E18" s="41"/>
      <c r="F18" s="257"/>
      <c r="G18" s="257"/>
      <c r="H18" s="257"/>
      <c r="I18" s="331"/>
      <c r="K18" s="332" t="s">
        <v>55</v>
      </c>
      <c r="L18" s="255"/>
      <c r="M18" s="40"/>
      <c r="N18" s="256"/>
      <c r="O18" s="41"/>
      <c r="P18" s="257"/>
      <c r="Q18" s="257"/>
      <c r="R18" s="257"/>
      <c r="S18" s="332" t="s">
        <v>55</v>
      </c>
      <c r="T18" s="255"/>
      <c r="U18" s="40"/>
      <c r="V18" s="256"/>
      <c r="W18" s="41"/>
      <c r="X18" s="257"/>
      <c r="Y18" s="257"/>
      <c r="Z18" s="257"/>
      <c r="AA18" s="331"/>
    </row>
    <row r="19" spans="1:27" ht="15" customHeight="1" x14ac:dyDescent="0.25">
      <c r="A19" s="332" t="s">
        <v>56</v>
      </c>
      <c r="B19" s="255"/>
      <c r="C19" s="40"/>
      <c r="D19" s="256"/>
      <c r="E19" s="41"/>
      <c r="F19" s="257"/>
      <c r="G19" s="257"/>
      <c r="H19" s="257"/>
      <c r="I19" s="331"/>
      <c r="K19" s="332" t="s">
        <v>56</v>
      </c>
      <c r="L19" s="255"/>
      <c r="M19" s="40"/>
      <c r="N19" s="256"/>
      <c r="O19" s="41"/>
      <c r="P19" s="257"/>
      <c r="Q19" s="257"/>
      <c r="R19" s="257"/>
      <c r="S19" s="332" t="s">
        <v>56</v>
      </c>
      <c r="T19" s="255"/>
      <c r="U19" s="40"/>
      <c r="V19" s="256"/>
      <c r="W19" s="41"/>
      <c r="X19" s="257"/>
      <c r="Y19" s="257"/>
      <c r="Z19" s="257"/>
      <c r="AA19" s="331"/>
    </row>
    <row r="20" spans="1:27" ht="15" customHeight="1" x14ac:dyDescent="0.25">
      <c r="A20" s="332" t="s">
        <v>57</v>
      </c>
      <c r="B20" s="255"/>
      <c r="C20" s="40"/>
      <c r="D20" s="256"/>
      <c r="E20" s="41"/>
      <c r="F20" s="257"/>
      <c r="G20" s="257"/>
      <c r="H20" s="257"/>
      <c r="I20" s="331"/>
      <c r="K20" s="332" t="s">
        <v>57</v>
      </c>
      <c r="L20" s="255"/>
      <c r="M20" s="40"/>
      <c r="N20" s="256"/>
      <c r="O20" s="41"/>
      <c r="P20" s="257"/>
      <c r="Q20" s="257"/>
      <c r="R20" s="257"/>
      <c r="S20" s="332" t="s">
        <v>57</v>
      </c>
      <c r="T20" s="255"/>
      <c r="U20" s="40"/>
      <c r="V20" s="256"/>
      <c r="W20" s="41"/>
      <c r="X20" s="257"/>
      <c r="Y20" s="257"/>
      <c r="Z20" s="257"/>
      <c r="AA20" s="331"/>
    </row>
    <row r="21" spans="1:27" ht="15" customHeight="1" x14ac:dyDescent="0.25">
      <c r="A21" s="332" t="s">
        <v>58</v>
      </c>
      <c r="B21" s="255"/>
      <c r="C21" s="40"/>
      <c r="D21" s="256"/>
      <c r="E21" s="41"/>
      <c r="F21" s="257"/>
      <c r="G21" s="257"/>
      <c r="H21" s="257"/>
      <c r="I21" s="331"/>
      <c r="K21" s="332" t="s">
        <v>58</v>
      </c>
      <c r="L21" s="255"/>
      <c r="M21" s="40"/>
      <c r="N21" s="256"/>
      <c r="O21" s="41"/>
      <c r="P21" s="257"/>
      <c r="Q21" s="257"/>
      <c r="R21" s="257"/>
      <c r="S21" s="332" t="s">
        <v>58</v>
      </c>
      <c r="T21" s="255"/>
      <c r="U21" s="40"/>
      <c r="V21" s="256"/>
      <c r="W21" s="41"/>
      <c r="X21" s="257"/>
      <c r="Y21" s="257"/>
      <c r="Z21" s="257"/>
      <c r="AA21" s="331"/>
    </row>
    <row r="22" spans="1:27" ht="15" customHeight="1" x14ac:dyDescent="0.25">
      <c r="A22" s="333"/>
      <c r="B22" s="255"/>
      <c r="C22" s="40"/>
      <c r="D22" s="256"/>
      <c r="E22" s="41"/>
      <c r="F22" s="257"/>
      <c r="G22" s="257"/>
      <c r="H22" s="257"/>
      <c r="I22" s="334"/>
      <c r="K22" s="333"/>
      <c r="L22" s="255"/>
      <c r="M22" s="40"/>
      <c r="N22" s="256"/>
      <c r="O22" s="41"/>
      <c r="P22" s="257"/>
      <c r="Q22" s="257"/>
      <c r="R22" s="257"/>
      <c r="S22" s="333"/>
      <c r="T22" s="255"/>
      <c r="U22" s="40"/>
      <c r="V22" s="256"/>
      <c r="W22" s="41"/>
      <c r="X22" s="257"/>
      <c r="Y22" s="257"/>
      <c r="Z22" s="257"/>
      <c r="AA22" s="331"/>
    </row>
    <row r="23" spans="1:27" ht="15" customHeight="1" x14ac:dyDescent="0.25">
      <c r="A23" s="335" t="s">
        <v>59</v>
      </c>
      <c r="B23" s="255"/>
      <c r="C23" s="40"/>
      <c r="D23" s="256"/>
      <c r="E23" s="41"/>
      <c r="F23" s="257"/>
      <c r="G23" s="257"/>
      <c r="H23" s="257"/>
      <c r="I23" s="331"/>
      <c r="K23" s="335" t="s">
        <v>59</v>
      </c>
      <c r="L23" s="255"/>
      <c r="M23" s="40"/>
      <c r="N23" s="256"/>
      <c r="O23" s="41"/>
      <c r="P23" s="257"/>
      <c r="Q23" s="257"/>
      <c r="R23" s="257"/>
      <c r="S23" s="335" t="s">
        <v>59</v>
      </c>
      <c r="T23" s="255"/>
      <c r="U23" s="40"/>
      <c r="V23" s="256"/>
      <c r="W23" s="41"/>
      <c r="X23" s="257"/>
      <c r="Y23" s="257"/>
      <c r="Z23" s="257"/>
      <c r="AA23" s="331"/>
    </row>
    <row r="24" spans="1:27" ht="15" customHeight="1" x14ac:dyDescent="0.25">
      <c r="A24" s="330"/>
      <c r="B24" s="255"/>
      <c r="C24" s="40"/>
      <c r="D24" s="256"/>
      <c r="E24" s="41"/>
      <c r="F24" s="257"/>
      <c r="G24" s="257"/>
      <c r="H24" s="257"/>
      <c r="I24" s="331"/>
      <c r="K24" s="330"/>
      <c r="L24" s="255"/>
      <c r="M24" s="40"/>
      <c r="N24" s="256"/>
      <c r="O24" s="41"/>
      <c r="P24" s="257"/>
      <c r="Q24" s="257"/>
      <c r="R24" s="257"/>
      <c r="S24" s="330"/>
      <c r="T24" s="255"/>
      <c r="U24" s="40"/>
      <c r="V24" s="256"/>
      <c r="W24" s="41"/>
      <c r="X24" s="257"/>
      <c r="Y24" s="257"/>
      <c r="Z24" s="257"/>
      <c r="AA24" s="331"/>
    </row>
    <row r="25" spans="1:27" ht="15" customHeight="1" x14ac:dyDescent="0.25">
      <c r="A25" s="335" t="s">
        <v>60</v>
      </c>
      <c r="B25" s="255"/>
      <c r="C25" s="40"/>
      <c r="D25" s="256"/>
      <c r="E25" s="41"/>
      <c r="F25" s="257"/>
      <c r="G25" s="257"/>
      <c r="H25" s="257"/>
      <c r="I25" s="331"/>
      <c r="K25" s="335" t="s">
        <v>60</v>
      </c>
      <c r="L25" s="255"/>
      <c r="M25" s="40"/>
      <c r="N25" s="256"/>
      <c r="O25" s="41"/>
      <c r="P25" s="257"/>
      <c r="Q25" s="257"/>
      <c r="R25" s="257"/>
      <c r="S25" s="335" t="s">
        <v>60</v>
      </c>
      <c r="T25" s="255"/>
      <c r="U25" s="40"/>
      <c r="V25" s="256"/>
      <c r="W25" s="41"/>
      <c r="X25" s="257"/>
      <c r="Y25" s="257"/>
      <c r="Z25" s="257"/>
      <c r="AA25" s="331"/>
    </row>
    <row r="26" spans="1:27" ht="15" customHeight="1" x14ac:dyDescent="0.25">
      <c r="A26" s="332" t="s">
        <v>61</v>
      </c>
      <c r="B26" s="255"/>
      <c r="C26" s="40"/>
      <c r="D26" s="256"/>
      <c r="E26" s="41"/>
      <c r="F26" s="257"/>
      <c r="G26" s="257"/>
      <c r="H26" s="257"/>
      <c r="I26" s="331"/>
      <c r="K26" s="332" t="s">
        <v>61</v>
      </c>
      <c r="L26" s="255"/>
      <c r="M26" s="40"/>
      <c r="N26" s="256"/>
      <c r="O26" s="41"/>
      <c r="P26" s="257"/>
      <c r="Q26" s="257"/>
      <c r="R26" s="257"/>
      <c r="S26" s="332" t="s">
        <v>61</v>
      </c>
      <c r="T26" s="255"/>
      <c r="U26" s="40"/>
      <c r="V26" s="256"/>
      <c r="W26" s="41"/>
      <c r="X26" s="257"/>
      <c r="Y26" s="257"/>
      <c r="Z26" s="257"/>
      <c r="AA26" s="331"/>
    </row>
    <row r="27" spans="1:27" ht="13" x14ac:dyDescent="0.3">
      <c r="A27" s="479" t="s">
        <v>62</v>
      </c>
      <c r="B27" s="480"/>
      <c r="C27" s="480"/>
      <c r="D27" s="480"/>
      <c r="E27" s="480"/>
      <c r="F27" s="480"/>
      <c r="G27" s="480"/>
      <c r="H27" s="480"/>
      <c r="I27" s="523"/>
      <c r="K27" s="479" t="s">
        <v>62</v>
      </c>
      <c r="L27" s="480"/>
      <c r="M27" s="480"/>
      <c r="N27" s="480"/>
      <c r="O27" s="480"/>
      <c r="P27" s="480"/>
      <c r="Q27" s="480"/>
      <c r="R27" s="3"/>
      <c r="S27" s="479" t="s">
        <v>62</v>
      </c>
      <c r="T27" s="480"/>
      <c r="U27" s="480"/>
      <c r="V27" s="480"/>
      <c r="W27" s="480"/>
      <c r="X27" s="480"/>
      <c r="Y27" s="480"/>
      <c r="Z27" s="480"/>
      <c r="AA27" s="523"/>
    </row>
    <row r="28" spans="1:27" ht="25" x14ac:dyDescent="0.25">
      <c r="A28" s="336">
        <v>1</v>
      </c>
      <c r="B28" s="516" t="s">
        <v>63</v>
      </c>
      <c r="C28" s="516"/>
      <c r="D28" s="516"/>
      <c r="E28" s="516"/>
      <c r="F28" s="516"/>
      <c r="G28" s="516"/>
      <c r="H28" s="516"/>
      <c r="I28" s="337" t="str">
        <f>A16</f>
        <v>Limpeza e Conservação</v>
      </c>
      <c r="K28" s="336">
        <v>1</v>
      </c>
      <c r="L28" s="516" t="s">
        <v>63</v>
      </c>
      <c r="M28" s="516"/>
      <c r="N28" s="516"/>
      <c r="O28" s="516"/>
      <c r="P28" s="516"/>
      <c r="Q28" s="516"/>
      <c r="R28" s="256"/>
      <c r="S28" s="336">
        <v>1</v>
      </c>
      <c r="T28" s="516" t="s">
        <v>63</v>
      </c>
      <c r="U28" s="516"/>
      <c r="V28" s="516"/>
      <c r="W28" s="516"/>
      <c r="X28" s="516"/>
      <c r="Y28" s="516"/>
      <c r="Z28" s="516"/>
      <c r="AA28" s="337" t="str">
        <f>S16</f>
        <v>Limpeza e Conservação</v>
      </c>
    </row>
    <row r="29" spans="1:27" x14ac:dyDescent="0.25">
      <c r="A29" s="324">
        <v>2</v>
      </c>
      <c r="B29" s="478" t="s">
        <v>64</v>
      </c>
      <c r="C29" s="478"/>
      <c r="D29" s="478"/>
      <c r="E29" s="478"/>
      <c r="F29" s="478"/>
      <c r="G29" s="478"/>
      <c r="H29" s="478"/>
      <c r="I29" s="338" t="s">
        <v>65</v>
      </c>
      <c r="K29" s="324">
        <v>2</v>
      </c>
      <c r="L29" s="478" t="s">
        <v>64</v>
      </c>
      <c r="M29" s="478"/>
      <c r="N29" s="478"/>
      <c r="O29" s="478"/>
      <c r="P29" s="478"/>
      <c r="Q29" s="478"/>
      <c r="R29" s="200"/>
      <c r="S29" s="324">
        <v>2</v>
      </c>
      <c r="T29" s="478" t="s">
        <v>64</v>
      </c>
      <c r="U29" s="478"/>
      <c r="V29" s="478"/>
      <c r="W29" s="478"/>
      <c r="X29" s="478"/>
      <c r="Y29" s="478"/>
      <c r="Z29" s="478"/>
      <c r="AA29" s="338" t="s">
        <v>66</v>
      </c>
    </row>
    <row r="30" spans="1:27" x14ac:dyDescent="0.25">
      <c r="A30" s="324">
        <v>3</v>
      </c>
      <c r="B30" s="472" t="s">
        <v>67</v>
      </c>
      <c r="C30" s="472"/>
      <c r="D30" s="472"/>
      <c r="E30" s="472"/>
      <c r="F30" s="472"/>
      <c r="G30" s="472"/>
      <c r="H30" s="472"/>
      <c r="I30" s="339">
        <v>1743.69</v>
      </c>
      <c r="K30" s="324">
        <v>3</v>
      </c>
      <c r="L30" s="472" t="s">
        <v>67</v>
      </c>
      <c r="M30" s="472"/>
      <c r="N30" s="472"/>
      <c r="O30" s="472"/>
      <c r="P30" s="472"/>
      <c r="Q30" s="472"/>
      <c r="R30" s="311"/>
      <c r="S30" s="324">
        <v>3</v>
      </c>
      <c r="T30" s="472" t="s">
        <v>67</v>
      </c>
      <c r="U30" s="472"/>
      <c r="V30" s="472"/>
      <c r="W30" s="472"/>
      <c r="X30" s="472"/>
      <c r="Y30" s="472"/>
      <c r="Z30" s="472"/>
      <c r="AA30" s="339">
        <v>3383.5</v>
      </c>
    </row>
    <row r="31" spans="1:27" ht="25" x14ac:dyDescent="0.25">
      <c r="A31" s="336">
        <v>4</v>
      </c>
      <c r="B31" s="516" t="s">
        <v>68</v>
      </c>
      <c r="C31" s="516"/>
      <c r="D31" s="516"/>
      <c r="E31" s="516"/>
      <c r="F31" s="516"/>
      <c r="G31" s="516"/>
      <c r="H31" s="516"/>
      <c r="I31" s="340" t="s">
        <v>69</v>
      </c>
      <c r="K31" s="336">
        <v>4</v>
      </c>
      <c r="L31" s="516" t="s">
        <v>68</v>
      </c>
      <c r="M31" s="516"/>
      <c r="N31" s="516"/>
      <c r="O31" s="516"/>
      <c r="P31" s="516"/>
      <c r="Q31" s="516"/>
      <c r="R31" s="40"/>
      <c r="S31" s="336">
        <v>4</v>
      </c>
      <c r="T31" s="516" t="s">
        <v>68</v>
      </c>
      <c r="U31" s="516"/>
      <c r="V31" s="516"/>
      <c r="W31" s="516"/>
      <c r="X31" s="516"/>
      <c r="Y31" s="516"/>
      <c r="Z31" s="516"/>
      <c r="AA31" s="340" t="s">
        <v>70</v>
      </c>
    </row>
    <row r="32" spans="1:27" x14ac:dyDescent="0.25">
      <c r="A32" s="324">
        <v>5</v>
      </c>
      <c r="B32" s="478" t="s">
        <v>71</v>
      </c>
      <c r="C32" s="472"/>
      <c r="D32" s="472"/>
      <c r="E32" s="472"/>
      <c r="F32" s="472"/>
      <c r="G32" s="472"/>
      <c r="H32" s="472"/>
      <c r="I32" s="325">
        <v>45686</v>
      </c>
      <c r="K32" s="324">
        <v>5</v>
      </c>
      <c r="L32" s="478" t="s">
        <v>71</v>
      </c>
      <c r="M32" s="472"/>
      <c r="N32" s="472"/>
      <c r="O32" s="472"/>
      <c r="P32" s="472"/>
      <c r="Q32" s="472"/>
      <c r="R32" s="310"/>
      <c r="S32" s="324">
        <v>5</v>
      </c>
      <c r="T32" s="478" t="s">
        <v>71</v>
      </c>
      <c r="U32" s="472"/>
      <c r="V32" s="472"/>
      <c r="W32" s="472"/>
      <c r="X32" s="472"/>
      <c r="Y32" s="472"/>
      <c r="Z32" s="472"/>
      <c r="AA32" s="325">
        <v>45686</v>
      </c>
    </row>
    <row r="33" spans="1:28" x14ac:dyDescent="0.25">
      <c r="A33" s="319"/>
      <c r="B33" s="252"/>
      <c r="C33" s="252"/>
      <c r="D33" s="252"/>
      <c r="E33" s="252"/>
      <c r="F33" s="252"/>
      <c r="G33" s="252"/>
      <c r="H33" s="252"/>
      <c r="I33" s="341"/>
      <c r="K33" s="319"/>
      <c r="L33" s="252"/>
      <c r="M33" s="252"/>
      <c r="N33" s="252"/>
      <c r="O33" s="252"/>
      <c r="P33" s="252"/>
      <c r="Q33" s="252"/>
      <c r="R33" s="258"/>
      <c r="S33" s="319"/>
      <c r="T33" s="252"/>
      <c r="U33" s="252"/>
      <c r="V33" s="252"/>
      <c r="W33" s="252"/>
      <c r="X33" s="252"/>
      <c r="Y33" s="252"/>
      <c r="Z33" s="252"/>
      <c r="AA33" s="341"/>
    </row>
    <row r="34" spans="1:28" ht="13" x14ac:dyDescent="0.25">
      <c r="A34" s="332" t="s">
        <v>72</v>
      </c>
      <c r="B34" s="252"/>
      <c r="C34" s="252"/>
      <c r="D34" s="252"/>
      <c r="E34" s="252"/>
      <c r="F34" s="252"/>
      <c r="G34" s="252"/>
      <c r="H34" s="252"/>
      <c r="I34" s="341"/>
      <c r="K34" s="332" t="s">
        <v>72</v>
      </c>
      <c r="L34" s="252"/>
      <c r="M34" s="252"/>
      <c r="N34" s="252"/>
      <c r="O34" s="252"/>
      <c r="P34" s="252"/>
      <c r="Q34" s="252"/>
      <c r="R34" s="258"/>
      <c r="S34" s="332" t="s">
        <v>72</v>
      </c>
      <c r="T34" s="252"/>
      <c r="U34" s="252"/>
      <c r="V34" s="252"/>
      <c r="W34" s="252"/>
      <c r="X34" s="252"/>
      <c r="Y34" s="252"/>
      <c r="Z34" s="252"/>
      <c r="AA34" s="341"/>
    </row>
    <row r="35" spans="1:28" ht="13" x14ac:dyDescent="0.25">
      <c r="A35" s="332" t="s">
        <v>73</v>
      </c>
      <c r="B35" s="252"/>
      <c r="C35" s="252"/>
      <c r="D35" s="252"/>
      <c r="E35" s="252"/>
      <c r="F35" s="252"/>
      <c r="G35" s="252"/>
      <c r="H35" s="252"/>
      <c r="I35" s="341"/>
      <c r="K35" s="332" t="s">
        <v>73</v>
      </c>
      <c r="L35" s="252"/>
      <c r="M35" s="252"/>
      <c r="N35" s="252"/>
      <c r="O35" s="252"/>
      <c r="P35" s="252"/>
      <c r="Q35" s="252"/>
      <c r="R35" s="258"/>
      <c r="S35" s="332" t="s">
        <v>73</v>
      </c>
      <c r="T35" s="252"/>
      <c r="U35" s="252"/>
      <c r="V35" s="252"/>
      <c r="W35" s="252"/>
      <c r="X35" s="252"/>
      <c r="Y35" s="252"/>
      <c r="Z35" s="252"/>
      <c r="AA35" s="341"/>
    </row>
    <row r="36" spans="1:28" x14ac:dyDescent="0.25">
      <c r="A36" s="68"/>
      <c r="I36" s="69"/>
      <c r="K36" s="68"/>
      <c r="S36" s="68"/>
      <c r="AA36" s="69"/>
    </row>
    <row r="37" spans="1:28" ht="13" x14ac:dyDescent="0.3">
      <c r="A37" s="491" t="s">
        <v>74</v>
      </c>
      <c r="B37" s="492"/>
      <c r="C37" s="492"/>
      <c r="D37" s="492"/>
      <c r="E37" s="492"/>
      <c r="F37" s="492"/>
      <c r="G37" s="492"/>
      <c r="H37" s="492"/>
      <c r="I37" s="524"/>
      <c r="K37" s="491" t="s">
        <v>74</v>
      </c>
      <c r="L37" s="492"/>
      <c r="M37" s="492"/>
      <c r="N37" s="492"/>
      <c r="O37" s="492"/>
      <c r="P37" s="492"/>
      <c r="Q37" s="492"/>
      <c r="R37" s="3"/>
      <c r="S37" s="491" t="s">
        <v>74</v>
      </c>
      <c r="T37" s="492"/>
      <c r="U37" s="492"/>
      <c r="V37" s="492"/>
      <c r="W37" s="492"/>
      <c r="X37" s="492"/>
      <c r="Y37" s="492"/>
      <c r="Z37" s="492"/>
      <c r="AA37" s="524"/>
    </row>
    <row r="38" spans="1:28" ht="13" x14ac:dyDescent="0.3">
      <c r="A38" s="328">
        <v>1</v>
      </c>
      <c r="B38" s="477" t="s">
        <v>75</v>
      </c>
      <c r="C38" s="477"/>
      <c r="D38" s="477"/>
      <c r="E38" s="477"/>
      <c r="F38" s="477"/>
      <c r="G38" s="477"/>
      <c r="H38" s="8" t="s">
        <v>76</v>
      </c>
      <c r="I38" s="329" t="s">
        <v>77</v>
      </c>
      <c r="K38" s="328">
        <v>1</v>
      </c>
      <c r="L38" s="477" t="s">
        <v>75</v>
      </c>
      <c r="M38" s="477"/>
      <c r="N38" s="477"/>
      <c r="O38" s="477"/>
      <c r="P38" s="477"/>
      <c r="Q38" s="477"/>
      <c r="R38" s="3"/>
      <c r="S38" s="328">
        <v>1</v>
      </c>
      <c r="T38" s="477" t="s">
        <v>75</v>
      </c>
      <c r="U38" s="477"/>
      <c r="V38" s="477"/>
      <c r="W38" s="477"/>
      <c r="X38" s="477"/>
      <c r="Y38" s="477"/>
      <c r="Z38" s="8" t="s">
        <v>76</v>
      </c>
      <c r="AA38" s="329" t="s">
        <v>77</v>
      </c>
    </row>
    <row r="39" spans="1:28" ht="13" x14ac:dyDescent="0.3">
      <c r="A39" s="328" t="s">
        <v>40</v>
      </c>
      <c r="B39" s="478" t="s">
        <v>78</v>
      </c>
      <c r="C39" s="478"/>
      <c r="D39" s="478"/>
      <c r="E39" s="478"/>
      <c r="F39" s="478"/>
      <c r="G39" s="478"/>
      <c r="H39" s="22"/>
      <c r="I39" s="342">
        <f>I30</f>
        <v>1743.69</v>
      </c>
      <c r="K39" s="328" t="s">
        <v>40</v>
      </c>
      <c r="L39" s="478" t="s">
        <v>78</v>
      </c>
      <c r="M39" s="478"/>
      <c r="N39" s="478"/>
      <c r="O39" s="478"/>
      <c r="P39" s="478"/>
      <c r="Q39" s="478"/>
      <c r="R39" s="307"/>
      <c r="S39" s="328" t="s">
        <v>40</v>
      </c>
      <c r="T39" s="478" t="s">
        <v>78</v>
      </c>
      <c r="U39" s="478"/>
      <c r="V39" s="478"/>
      <c r="W39" s="478"/>
      <c r="X39" s="478"/>
      <c r="Y39" s="478"/>
      <c r="Z39" s="22"/>
      <c r="AA39" s="342">
        <f>AA30</f>
        <v>3383.5</v>
      </c>
    </row>
    <row r="40" spans="1:28" ht="13" x14ac:dyDescent="0.3">
      <c r="A40" s="328" t="s">
        <v>42</v>
      </c>
      <c r="B40" s="478" t="s">
        <v>79</v>
      </c>
      <c r="C40" s="478"/>
      <c r="D40" s="478"/>
      <c r="E40" s="478"/>
      <c r="F40" s="478"/>
      <c r="G40" s="478"/>
      <c r="H40" s="2"/>
      <c r="I40" s="342">
        <f>I39*H40</f>
        <v>0</v>
      </c>
      <c r="J40" s="32" t="s">
        <v>80</v>
      </c>
      <c r="K40" s="328" t="s">
        <v>42</v>
      </c>
      <c r="L40" s="478" t="s">
        <v>79</v>
      </c>
      <c r="M40" s="478"/>
      <c r="N40" s="478"/>
      <c r="O40" s="478"/>
      <c r="P40" s="478"/>
      <c r="Q40" s="478"/>
      <c r="R40" s="307"/>
      <c r="S40" s="328" t="s">
        <v>42</v>
      </c>
      <c r="T40" s="478" t="s">
        <v>79</v>
      </c>
      <c r="U40" s="478"/>
      <c r="V40" s="478"/>
      <c r="W40" s="478"/>
      <c r="X40" s="478"/>
      <c r="Y40" s="478"/>
      <c r="Z40" s="2"/>
      <c r="AA40" s="342">
        <f>AA39*Z40</f>
        <v>0</v>
      </c>
      <c r="AB40" s="32" t="s">
        <v>80</v>
      </c>
    </row>
    <row r="41" spans="1:28" ht="13" x14ac:dyDescent="0.3">
      <c r="A41" s="328" t="s">
        <v>45</v>
      </c>
      <c r="B41" s="478" t="s">
        <v>81</v>
      </c>
      <c r="C41" s="478"/>
      <c r="D41" s="478"/>
      <c r="E41" s="478"/>
      <c r="F41" s="478"/>
      <c r="G41" s="478"/>
      <c r="H41" s="2"/>
      <c r="I41" s="342">
        <f>H41*I39</f>
        <v>0</v>
      </c>
      <c r="K41" s="328" t="s">
        <v>45</v>
      </c>
      <c r="L41" s="478" t="s">
        <v>81</v>
      </c>
      <c r="M41" s="478"/>
      <c r="N41" s="478"/>
      <c r="O41" s="478"/>
      <c r="P41" s="478"/>
      <c r="Q41" s="478"/>
      <c r="R41" s="307"/>
      <c r="S41" s="328" t="s">
        <v>45</v>
      </c>
      <c r="T41" s="478" t="s">
        <v>81</v>
      </c>
      <c r="U41" s="478"/>
      <c r="V41" s="478"/>
      <c r="W41" s="478"/>
      <c r="X41" s="478"/>
      <c r="Y41" s="478"/>
      <c r="Z41" s="2"/>
      <c r="AA41" s="342">
        <f>Z41*AA39</f>
        <v>0</v>
      </c>
    </row>
    <row r="42" spans="1:28" ht="13" x14ac:dyDescent="0.3">
      <c r="A42" s="328" t="s">
        <v>48</v>
      </c>
      <c r="B42" s="478" t="s">
        <v>82</v>
      </c>
      <c r="C42" s="478"/>
      <c r="D42" s="478"/>
      <c r="E42" s="478"/>
      <c r="F42" s="478"/>
      <c r="G42" s="478"/>
      <c r="H42" s="2"/>
      <c r="I42" s="342">
        <v>0</v>
      </c>
      <c r="J42" s="32" t="s">
        <v>83</v>
      </c>
      <c r="K42" s="328" t="s">
        <v>48</v>
      </c>
      <c r="L42" s="478" t="s">
        <v>82</v>
      </c>
      <c r="M42" s="478"/>
      <c r="N42" s="478"/>
      <c r="O42" s="478"/>
      <c r="P42" s="478"/>
      <c r="Q42" s="478"/>
      <c r="R42" s="307"/>
      <c r="S42" s="328" t="s">
        <v>48</v>
      </c>
      <c r="T42" s="478" t="s">
        <v>82</v>
      </c>
      <c r="U42" s="478"/>
      <c r="V42" s="478"/>
      <c r="W42" s="478"/>
      <c r="X42" s="478"/>
      <c r="Y42" s="478"/>
      <c r="Z42" s="2"/>
      <c r="AA42" s="342">
        <v>0</v>
      </c>
      <c r="AB42" s="32" t="s">
        <v>83</v>
      </c>
    </row>
    <row r="43" spans="1:28" ht="13" x14ac:dyDescent="0.3">
      <c r="A43" s="328" t="s">
        <v>84</v>
      </c>
      <c r="B43" s="478" t="s">
        <v>85</v>
      </c>
      <c r="C43" s="478"/>
      <c r="D43" s="478"/>
      <c r="E43" s="478"/>
      <c r="F43" s="478"/>
      <c r="G43" s="478"/>
      <c r="H43" s="5"/>
      <c r="I43" s="342">
        <v>0</v>
      </c>
      <c r="J43" s="32" t="s">
        <v>83</v>
      </c>
      <c r="K43" s="328" t="s">
        <v>84</v>
      </c>
      <c r="L43" s="478" t="s">
        <v>85</v>
      </c>
      <c r="M43" s="478"/>
      <c r="N43" s="478"/>
      <c r="O43" s="478"/>
      <c r="P43" s="478"/>
      <c r="Q43" s="478"/>
      <c r="R43" s="307"/>
      <c r="S43" s="328" t="s">
        <v>84</v>
      </c>
      <c r="T43" s="478" t="s">
        <v>85</v>
      </c>
      <c r="U43" s="478"/>
      <c r="V43" s="478"/>
      <c r="W43" s="478"/>
      <c r="X43" s="478"/>
      <c r="Y43" s="478"/>
      <c r="Z43" s="5"/>
      <c r="AA43" s="342">
        <v>0</v>
      </c>
      <c r="AB43" s="32" t="s">
        <v>83</v>
      </c>
    </row>
    <row r="44" spans="1:28" ht="13" x14ac:dyDescent="0.3">
      <c r="A44" s="328" t="s">
        <v>86</v>
      </c>
      <c r="B44" s="478" t="s">
        <v>87</v>
      </c>
      <c r="C44" s="478"/>
      <c r="D44" s="478"/>
      <c r="E44" s="478"/>
      <c r="F44" s="478"/>
      <c r="G44" s="478"/>
      <c r="H44" s="2"/>
      <c r="I44" s="342">
        <v>0</v>
      </c>
      <c r="K44" s="328" t="s">
        <v>86</v>
      </c>
      <c r="L44" s="478" t="s">
        <v>87</v>
      </c>
      <c r="M44" s="478"/>
      <c r="N44" s="478"/>
      <c r="O44" s="478"/>
      <c r="P44" s="478"/>
      <c r="Q44" s="478"/>
      <c r="R44" s="307"/>
      <c r="S44" s="328" t="s">
        <v>86</v>
      </c>
      <c r="T44" s="478" t="s">
        <v>87</v>
      </c>
      <c r="U44" s="478"/>
      <c r="V44" s="478"/>
      <c r="W44" s="478"/>
      <c r="X44" s="478"/>
      <c r="Y44" s="478"/>
      <c r="Z44" s="2"/>
      <c r="AA44" s="342">
        <v>0</v>
      </c>
    </row>
    <row r="45" spans="1:28" ht="13" x14ac:dyDescent="0.3">
      <c r="A45" s="484" t="s">
        <v>88</v>
      </c>
      <c r="B45" s="480"/>
      <c r="C45" s="480"/>
      <c r="D45" s="480"/>
      <c r="E45" s="480"/>
      <c r="F45" s="480"/>
      <c r="G45" s="480"/>
      <c r="H45" s="480"/>
      <c r="I45" s="343">
        <f>SUM(I39:I44)</f>
        <v>1743.69</v>
      </c>
      <c r="K45" s="484" t="s">
        <v>88</v>
      </c>
      <c r="L45" s="480"/>
      <c r="M45" s="480"/>
      <c r="N45" s="480"/>
      <c r="O45" s="480"/>
      <c r="P45" s="480"/>
      <c r="Q45" s="480"/>
      <c r="R45" s="312"/>
      <c r="S45" s="484" t="s">
        <v>88</v>
      </c>
      <c r="T45" s="480"/>
      <c r="U45" s="480"/>
      <c r="V45" s="480"/>
      <c r="W45" s="480"/>
      <c r="X45" s="480"/>
      <c r="Y45" s="480"/>
      <c r="Z45" s="480"/>
      <c r="AA45" s="343">
        <f>SUM(AA39:AA44)</f>
        <v>3383.5</v>
      </c>
    </row>
    <row r="46" spans="1:28" s="10" customFormat="1" ht="13" x14ac:dyDescent="0.3">
      <c r="A46" s="70"/>
      <c r="I46" s="108"/>
      <c r="K46" s="70"/>
      <c r="S46" s="70"/>
      <c r="AA46" s="108"/>
    </row>
    <row r="47" spans="1:28" s="10" customFormat="1" ht="13" x14ac:dyDescent="0.3">
      <c r="A47" s="332" t="s">
        <v>89</v>
      </c>
      <c r="I47" s="108"/>
      <c r="K47" s="332" t="s">
        <v>89</v>
      </c>
      <c r="S47" s="332" t="s">
        <v>89</v>
      </c>
      <c r="AA47" s="108"/>
    </row>
    <row r="48" spans="1:28" s="10" customFormat="1" ht="13" x14ac:dyDescent="0.3">
      <c r="A48" s="332" t="s">
        <v>90</v>
      </c>
      <c r="I48" s="108"/>
      <c r="K48" s="332" t="s">
        <v>90</v>
      </c>
      <c r="S48" s="332" t="s">
        <v>90</v>
      </c>
      <c r="AA48" s="108"/>
    </row>
    <row r="49" spans="1:27" ht="13" x14ac:dyDescent="0.3">
      <c r="A49" s="344"/>
      <c r="B49" s="3"/>
      <c r="C49" s="3"/>
      <c r="D49" s="3"/>
      <c r="E49" s="3"/>
      <c r="F49" s="3"/>
      <c r="G49" s="3"/>
      <c r="H49" s="3"/>
      <c r="I49" s="72"/>
      <c r="K49" s="344"/>
      <c r="L49" s="3"/>
      <c r="M49" s="3"/>
      <c r="N49" s="3"/>
      <c r="O49" s="3"/>
      <c r="P49" s="3"/>
      <c r="Q49" s="3"/>
      <c r="R49" s="4"/>
      <c r="S49" s="344"/>
      <c r="T49" s="3"/>
      <c r="U49" s="3"/>
      <c r="V49" s="3"/>
      <c r="W49" s="3"/>
      <c r="X49" s="3"/>
      <c r="Y49" s="3"/>
      <c r="Z49" s="3"/>
      <c r="AA49" s="72"/>
    </row>
    <row r="50" spans="1:27" ht="13" x14ac:dyDescent="0.3">
      <c r="A50" s="491" t="s">
        <v>91</v>
      </c>
      <c r="B50" s="492"/>
      <c r="C50" s="492"/>
      <c r="D50" s="492"/>
      <c r="E50" s="492"/>
      <c r="F50" s="492"/>
      <c r="G50" s="492"/>
      <c r="H50" s="492"/>
      <c r="I50" s="524"/>
      <c r="K50" s="491" t="s">
        <v>91</v>
      </c>
      <c r="L50" s="492"/>
      <c r="M50" s="492"/>
      <c r="N50" s="492"/>
      <c r="O50" s="492"/>
      <c r="P50" s="492"/>
      <c r="Q50" s="492"/>
      <c r="R50" s="3"/>
      <c r="S50" s="491" t="s">
        <v>91</v>
      </c>
      <c r="T50" s="492"/>
      <c r="U50" s="492"/>
      <c r="V50" s="492"/>
      <c r="W50" s="492"/>
      <c r="X50" s="492"/>
      <c r="Y50" s="492"/>
      <c r="Z50" s="492"/>
      <c r="AA50" s="524"/>
    </row>
    <row r="51" spans="1:27" ht="13" x14ac:dyDescent="0.3">
      <c r="A51" s="345" t="s">
        <v>92</v>
      </c>
      <c r="B51" s="508" t="s">
        <v>93</v>
      </c>
      <c r="C51" s="509"/>
      <c r="D51" s="509"/>
      <c r="E51" s="509"/>
      <c r="F51" s="509"/>
      <c r="G51" s="510"/>
      <c r="H51" s="8" t="s">
        <v>76</v>
      </c>
      <c r="I51" s="329" t="s">
        <v>77</v>
      </c>
      <c r="K51" s="345" t="s">
        <v>92</v>
      </c>
      <c r="L51" s="508" t="s">
        <v>93</v>
      </c>
      <c r="M51" s="509"/>
      <c r="N51" s="509"/>
      <c r="O51" s="509"/>
      <c r="P51" s="509"/>
      <c r="Q51" s="510"/>
      <c r="R51" s="3"/>
      <c r="S51" s="345" t="s">
        <v>92</v>
      </c>
      <c r="T51" s="508" t="s">
        <v>93</v>
      </c>
      <c r="U51" s="509"/>
      <c r="V51" s="509"/>
      <c r="W51" s="509"/>
      <c r="X51" s="509"/>
      <c r="Y51" s="510"/>
      <c r="Z51" s="8" t="s">
        <v>76</v>
      </c>
      <c r="AA51" s="329" t="s">
        <v>77</v>
      </c>
    </row>
    <row r="52" spans="1:27" ht="13.5" customHeight="1" x14ac:dyDescent="0.3">
      <c r="A52" s="328" t="s">
        <v>40</v>
      </c>
      <c r="B52" s="478" t="s">
        <v>94</v>
      </c>
      <c r="C52" s="478"/>
      <c r="D52" s="478"/>
      <c r="E52" s="478"/>
      <c r="F52" s="478"/>
      <c r="G52" s="478"/>
      <c r="H52" s="1">
        <f>1/12</f>
        <v>8.3333333333333329E-2</v>
      </c>
      <c r="I52" s="93">
        <f>$I$45*H52</f>
        <v>145.3075</v>
      </c>
      <c r="K52" s="328" t="s">
        <v>40</v>
      </c>
      <c r="L52" s="478" t="s">
        <v>94</v>
      </c>
      <c r="M52" s="478"/>
      <c r="N52" s="478"/>
      <c r="O52" s="478"/>
      <c r="P52" s="478"/>
      <c r="Q52" s="478"/>
      <c r="R52" s="7"/>
      <c r="S52" s="328" t="s">
        <v>40</v>
      </c>
      <c r="T52" s="478" t="s">
        <v>94</v>
      </c>
      <c r="U52" s="478"/>
      <c r="V52" s="478"/>
      <c r="W52" s="478"/>
      <c r="X52" s="478"/>
      <c r="Y52" s="478"/>
      <c r="Z52" s="1">
        <f>1/12</f>
        <v>8.3333333333333329E-2</v>
      </c>
      <c r="AA52" s="93">
        <f>$AA$45*Z52</f>
        <v>281.95833333333331</v>
      </c>
    </row>
    <row r="53" spans="1:27" ht="13" x14ac:dyDescent="0.3">
      <c r="A53" s="328" t="s">
        <v>42</v>
      </c>
      <c r="B53" s="478" t="s">
        <v>95</v>
      </c>
      <c r="C53" s="478"/>
      <c r="D53" s="478"/>
      <c r="E53" s="478"/>
      <c r="F53" s="478"/>
      <c r="G53" s="478"/>
      <c r="H53" s="24">
        <v>0.121</v>
      </c>
      <c r="I53" s="93">
        <f>$I$45*H53</f>
        <v>210.98649</v>
      </c>
      <c r="K53" s="328" t="s">
        <v>42</v>
      </c>
      <c r="L53" s="478" t="s">
        <v>95</v>
      </c>
      <c r="M53" s="478"/>
      <c r="N53" s="478"/>
      <c r="O53" s="478"/>
      <c r="P53" s="478"/>
      <c r="Q53" s="478"/>
      <c r="R53" s="7"/>
      <c r="S53" s="328" t="s">
        <v>42</v>
      </c>
      <c r="T53" s="478" t="s">
        <v>95</v>
      </c>
      <c r="U53" s="478"/>
      <c r="V53" s="478"/>
      <c r="W53" s="478"/>
      <c r="X53" s="478"/>
      <c r="Y53" s="478"/>
      <c r="Z53" s="24">
        <v>0.121</v>
      </c>
      <c r="AA53" s="93">
        <f>$AA$45*Z53</f>
        <v>409.40350000000001</v>
      </c>
    </row>
    <row r="54" spans="1:27" ht="13" x14ac:dyDescent="0.3">
      <c r="A54" s="479" t="s">
        <v>96</v>
      </c>
      <c r="B54" s="480"/>
      <c r="C54" s="480"/>
      <c r="D54" s="480"/>
      <c r="E54" s="480"/>
      <c r="F54" s="480"/>
      <c r="G54" s="480"/>
      <c r="H54" s="42">
        <f>TRUNC(SUM(H52:H53),4)</f>
        <v>0.20430000000000001</v>
      </c>
      <c r="I54" s="346">
        <f>SUM(I52:I53)</f>
        <v>356.29399000000001</v>
      </c>
      <c r="K54" s="479" t="s">
        <v>96</v>
      </c>
      <c r="L54" s="480"/>
      <c r="M54" s="480"/>
      <c r="N54" s="480"/>
      <c r="O54" s="480"/>
      <c r="P54" s="480"/>
      <c r="Q54" s="480"/>
      <c r="R54" s="4"/>
      <c r="S54" s="479" t="s">
        <v>96</v>
      </c>
      <c r="T54" s="480"/>
      <c r="U54" s="480"/>
      <c r="V54" s="480"/>
      <c r="W54" s="480"/>
      <c r="X54" s="480"/>
      <c r="Y54" s="480"/>
      <c r="Z54" s="42">
        <f>TRUNC(SUM(Z52:Z53),4)</f>
        <v>0.20430000000000001</v>
      </c>
      <c r="AA54" s="346">
        <f>SUM(AA52:AA53)</f>
        <v>691.36183333333338</v>
      </c>
    </row>
    <row r="55" spans="1:27" ht="22" customHeight="1" x14ac:dyDescent="0.25">
      <c r="A55" s="345" t="s">
        <v>45</v>
      </c>
      <c r="B55" s="481" t="s">
        <v>97</v>
      </c>
      <c r="C55" s="481"/>
      <c r="D55" s="481"/>
      <c r="E55" s="481"/>
      <c r="F55" s="481"/>
      <c r="G55" s="481"/>
      <c r="H55" s="160">
        <f>H54*H75</f>
        <v>7.518240000000001E-2</v>
      </c>
      <c r="I55" s="94">
        <f>$I$45*H55</f>
        <v>131.09479905600003</v>
      </c>
      <c r="K55" s="345" t="s">
        <v>45</v>
      </c>
      <c r="L55" s="481" t="s">
        <v>97</v>
      </c>
      <c r="M55" s="481"/>
      <c r="N55" s="481"/>
      <c r="O55" s="481"/>
      <c r="P55" s="481"/>
      <c r="Q55" s="481"/>
      <c r="R55" s="313"/>
      <c r="S55" s="345" t="s">
        <v>45</v>
      </c>
      <c r="T55" s="481" t="s">
        <v>97</v>
      </c>
      <c r="U55" s="481"/>
      <c r="V55" s="481"/>
      <c r="W55" s="481"/>
      <c r="X55" s="481"/>
      <c r="Y55" s="481"/>
      <c r="Z55" s="160">
        <f>Z54*Z75</f>
        <v>7.518240000000001E-2</v>
      </c>
      <c r="AA55" s="94">
        <f>$AA$45*Z55</f>
        <v>254.37965040000003</v>
      </c>
    </row>
    <row r="56" spans="1:27" ht="13" x14ac:dyDescent="0.3">
      <c r="A56" s="479" t="s">
        <v>98</v>
      </c>
      <c r="B56" s="480"/>
      <c r="C56" s="480"/>
      <c r="D56" s="480"/>
      <c r="E56" s="480"/>
      <c r="F56" s="480"/>
      <c r="G56" s="480"/>
      <c r="H56" s="42">
        <f>TRUNC(SUM(H54:H55),4)</f>
        <v>0.27939999999999998</v>
      </c>
      <c r="I56" s="346">
        <f>SUM(I54:I55)</f>
        <v>487.38878905600006</v>
      </c>
      <c r="K56" s="479" t="s">
        <v>98</v>
      </c>
      <c r="L56" s="480"/>
      <c r="M56" s="480"/>
      <c r="N56" s="480"/>
      <c r="O56" s="480"/>
      <c r="P56" s="480"/>
      <c r="Q56" s="480"/>
      <c r="R56" s="4"/>
      <c r="S56" s="479" t="s">
        <v>98</v>
      </c>
      <c r="T56" s="480"/>
      <c r="U56" s="480"/>
      <c r="V56" s="480"/>
      <c r="W56" s="480"/>
      <c r="X56" s="480"/>
      <c r="Y56" s="480"/>
      <c r="Z56" s="42">
        <f>TRUNC(SUM(Z54:Z55),4)</f>
        <v>0.27939999999999998</v>
      </c>
      <c r="AA56" s="346">
        <f>SUM(AA54:AA55)</f>
        <v>945.74148373333344</v>
      </c>
    </row>
    <row r="57" spans="1:27" ht="13" x14ac:dyDescent="0.3">
      <c r="A57" s="344"/>
      <c r="B57" s="3"/>
      <c r="C57" s="3"/>
      <c r="D57" s="3"/>
      <c r="E57" s="3"/>
      <c r="F57" s="3"/>
      <c r="G57" s="3"/>
      <c r="H57" s="44"/>
      <c r="I57" s="72"/>
      <c r="K57" s="344"/>
      <c r="L57" s="3"/>
      <c r="M57" s="3"/>
      <c r="N57" s="3"/>
      <c r="O57" s="3"/>
      <c r="P57" s="3"/>
      <c r="Q57" s="3"/>
      <c r="R57" s="4"/>
      <c r="S57" s="344"/>
      <c r="T57" s="3"/>
      <c r="U57" s="3"/>
      <c r="V57" s="3"/>
      <c r="W57" s="3"/>
      <c r="X57" s="3"/>
      <c r="Y57" s="3"/>
      <c r="Z57" s="44"/>
      <c r="AA57" s="72"/>
    </row>
    <row r="58" spans="1:27" ht="13" x14ac:dyDescent="0.3">
      <c r="A58" s="332" t="s">
        <v>99</v>
      </c>
      <c r="B58" s="3"/>
      <c r="C58" s="3"/>
      <c r="D58" s="3"/>
      <c r="E58" s="3"/>
      <c r="F58" s="3"/>
      <c r="G58" s="3"/>
      <c r="H58" s="44"/>
      <c r="I58" s="72"/>
      <c r="K58" s="332" t="s">
        <v>99</v>
      </c>
      <c r="L58" s="3"/>
      <c r="M58" s="3"/>
      <c r="N58" s="3"/>
      <c r="O58" s="3"/>
      <c r="P58" s="3"/>
      <c r="Q58" s="3"/>
      <c r="R58" s="4"/>
      <c r="S58" s="332" t="s">
        <v>99</v>
      </c>
      <c r="T58" s="3"/>
      <c r="U58" s="3"/>
      <c r="V58" s="3"/>
      <c r="W58" s="3"/>
      <c r="X58" s="3"/>
      <c r="Y58" s="3"/>
      <c r="Z58" s="44"/>
      <c r="AA58" s="72"/>
    </row>
    <row r="59" spans="1:27" ht="13" x14ac:dyDescent="0.3">
      <c r="A59" s="332" t="s">
        <v>100</v>
      </c>
      <c r="B59" s="3"/>
      <c r="C59" s="3"/>
      <c r="D59" s="3"/>
      <c r="E59" s="3"/>
      <c r="F59" s="3"/>
      <c r="G59" s="3"/>
      <c r="H59" s="44"/>
      <c r="I59" s="72"/>
      <c r="K59" s="332" t="s">
        <v>100</v>
      </c>
      <c r="L59" s="3"/>
      <c r="M59" s="3"/>
      <c r="N59" s="3"/>
      <c r="O59" s="3"/>
      <c r="P59" s="3"/>
      <c r="Q59" s="3"/>
      <c r="R59" s="4"/>
      <c r="S59" s="332" t="s">
        <v>100</v>
      </c>
      <c r="T59" s="3"/>
      <c r="U59" s="3"/>
      <c r="V59" s="3"/>
      <c r="W59" s="3"/>
      <c r="X59" s="3"/>
      <c r="Y59" s="3"/>
      <c r="Z59" s="44"/>
      <c r="AA59" s="72"/>
    </row>
    <row r="60" spans="1:27" ht="13" x14ac:dyDescent="0.3">
      <c r="A60" s="332" t="s">
        <v>101</v>
      </c>
      <c r="B60" s="3"/>
      <c r="C60" s="3"/>
      <c r="D60" s="3"/>
      <c r="E60" s="3"/>
      <c r="F60" s="3"/>
      <c r="G60" s="3"/>
      <c r="H60" s="44"/>
      <c r="I60" s="72"/>
      <c r="K60" s="332" t="s">
        <v>101</v>
      </c>
      <c r="L60" s="3"/>
      <c r="M60" s="3"/>
      <c r="N60" s="3"/>
      <c r="O60" s="3"/>
      <c r="P60" s="3"/>
      <c r="Q60" s="3"/>
      <c r="R60" s="4"/>
      <c r="S60" s="332" t="s">
        <v>101</v>
      </c>
      <c r="T60" s="3"/>
      <c r="U60" s="3"/>
      <c r="V60" s="3"/>
      <c r="W60" s="3"/>
      <c r="X60" s="3"/>
      <c r="Y60" s="3"/>
      <c r="Z60" s="44"/>
      <c r="AA60" s="72"/>
    </row>
    <row r="61" spans="1:27" ht="13" x14ac:dyDescent="0.3">
      <c r="A61" s="332" t="s">
        <v>102</v>
      </c>
      <c r="B61" s="10"/>
      <c r="C61" s="10"/>
      <c r="D61" s="10"/>
      <c r="E61" s="10"/>
      <c r="F61" s="10"/>
      <c r="G61" s="10"/>
      <c r="H61" s="10"/>
      <c r="I61" s="108"/>
      <c r="K61" s="332" t="s">
        <v>102</v>
      </c>
      <c r="L61" s="10"/>
      <c r="M61" s="10"/>
      <c r="N61" s="10"/>
      <c r="O61" s="10"/>
      <c r="P61" s="10"/>
      <c r="Q61" s="10"/>
      <c r="R61" s="10"/>
      <c r="S61" s="332" t="s">
        <v>102</v>
      </c>
      <c r="T61" s="10"/>
      <c r="U61" s="10"/>
      <c r="V61" s="10"/>
      <c r="W61" s="10"/>
      <c r="X61" s="10"/>
      <c r="Y61" s="10"/>
      <c r="Z61" s="10"/>
      <c r="AA61" s="108"/>
    </row>
    <row r="62" spans="1:27" ht="13" x14ac:dyDescent="0.3">
      <c r="A62" s="332" t="s">
        <v>103</v>
      </c>
      <c r="B62" s="10"/>
      <c r="C62" s="10"/>
      <c r="D62" s="10"/>
      <c r="E62" s="10"/>
      <c r="F62" s="10"/>
      <c r="G62" s="10"/>
      <c r="H62" s="10"/>
      <c r="I62" s="108"/>
      <c r="K62" s="332" t="s">
        <v>103</v>
      </c>
      <c r="L62" s="10"/>
      <c r="M62" s="10"/>
      <c r="N62" s="10"/>
      <c r="O62" s="10"/>
      <c r="P62" s="10"/>
      <c r="Q62" s="10"/>
      <c r="R62" s="10"/>
      <c r="S62" s="332" t="s">
        <v>103</v>
      </c>
      <c r="T62" s="10"/>
      <c r="U62" s="10"/>
      <c r="V62" s="10"/>
      <c r="W62" s="10"/>
      <c r="X62" s="10"/>
      <c r="Y62" s="10"/>
      <c r="Z62" s="10"/>
      <c r="AA62" s="108"/>
    </row>
    <row r="63" spans="1:27" ht="13" x14ac:dyDescent="0.3">
      <c r="A63" s="332"/>
      <c r="B63" s="10"/>
      <c r="C63" s="10"/>
      <c r="D63" s="10"/>
      <c r="E63" s="10"/>
      <c r="F63" s="10"/>
      <c r="G63" s="10"/>
      <c r="H63" s="10"/>
      <c r="I63" s="108"/>
      <c r="K63" s="332"/>
      <c r="L63" s="10"/>
      <c r="M63" s="10"/>
      <c r="N63" s="10"/>
      <c r="O63" s="10"/>
      <c r="P63" s="10"/>
      <c r="Q63" s="10"/>
      <c r="R63" s="10"/>
      <c r="S63" s="332"/>
      <c r="T63" s="10"/>
      <c r="U63" s="10"/>
      <c r="V63" s="10"/>
      <c r="W63" s="10"/>
      <c r="X63" s="10"/>
      <c r="Y63" s="10"/>
      <c r="Z63" s="10"/>
      <c r="AA63" s="108"/>
    </row>
    <row r="64" spans="1:27" ht="13" x14ac:dyDescent="0.3">
      <c r="A64" s="332"/>
      <c r="B64" s="10"/>
      <c r="C64" s="10"/>
      <c r="D64" s="10"/>
      <c r="E64" s="10"/>
      <c r="F64" s="10"/>
      <c r="G64" s="10"/>
      <c r="H64" s="10"/>
      <c r="I64" s="108"/>
      <c r="K64" s="332"/>
      <c r="L64" s="10"/>
      <c r="M64" s="10"/>
      <c r="N64" s="10"/>
      <c r="O64" s="10"/>
      <c r="P64" s="10"/>
      <c r="Q64" s="10"/>
      <c r="R64" s="10"/>
      <c r="S64" s="332"/>
      <c r="T64" s="10"/>
      <c r="U64" s="10"/>
      <c r="V64" s="10"/>
      <c r="W64" s="10"/>
      <c r="X64" s="10"/>
      <c r="Y64" s="10"/>
      <c r="Z64" s="10"/>
      <c r="AA64" s="108"/>
    </row>
    <row r="65" spans="1:28" ht="13" x14ac:dyDescent="0.3">
      <c r="A65" s="51"/>
      <c r="B65" s="45"/>
      <c r="C65" s="45"/>
      <c r="D65" s="45"/>
      <c r="E65" s="45"/>
      <c r="F65" s="45"/>
      <c r="G65" s="45"/>
      <c r="H65" s="45"/>
      <c r="I65" s="347"/>
      <c r="K65" s="51"/>
      <c r="L65" s="45"/>
      <c r="M65" s="45"/>
      <c r="N65" s="45"/>
      <c r="O65" s="45"/>
      <c r="P65" s="45"/>
      <c r="Q65" s="45"/>
      <c r="R65" s="10"/>
      <c r="S65" s="51"/>
      <c r="T65" s="45"/>
      <c r="U65" s="45"/>
      <c r="V65" s="45"/>
      <c r="W65" s="45"/>
      <c r="X65" s="45"/>
      <c r="Y65" s="45"/>
      <c r="Z65" s="45"/>
      <c r="AA65" s="347"/>
    </row>
    <row r="66" spans="1:28" ht="13" x14ac:dyDescent="0.3">
      <c r="A66" s="348" t="s">
        <v>104</v>
      </c>
      <c r="B66" s="517" t="s">
        <v>105</v>
      </c>
      <c r="C66" s="518"/>
      <c r="D66" s="518"/>
      <c r="E66" s="518"/>
      <c r="F66" s="518"/>
      <c r="G66" s="519"/>
      <c r="H66" s="34" t="s">
        <v>76</v>
      </c>
      <c r="I66" s="323" t="s">
        <v>77</v>
      </c>
      <c r="K66" s="348" t="s">
        <v>104</v>
      </c>
      <c r="L66" s="517" t="s">
        <v>105</v>
      </c>
      <c r="M66" s="518"/>
      <c r="N66" s="518"/>
      <c r="O66" s="518"/>
      <c r="P66" s="518"/>
      <c r="Q66" s="519"/>
      <c r="R66" s="3"/>
      <c r="S66" s="348" t="s">
        <v>104</v>
      </c>
      <c r="T66" s="517" t="s">
        <v>105</v>
      </c>
      <c r="U66" s="518"/>
      <c r="V66" s="518"/>
      <c r="W66" s="518"/>
      <c r="X66" s="518"/>
      <c r="Y66" s="519"/>
      <c r="Z66" s="34" t="s">
        <v>76</v>
      </c>
      <c r="AA66" s="323" t="s">
        <v>77</v>
      </c>
    </row>
    <row r="67" spans="1:28" ht="13" x14ac:dyDescent="0.3">
      <c r="A67" s="328" t="s">
        <v>40</v>
      </c>
      <c r="B67" s="478" t="s">
        <v>106</v>
      </c>
      <c r="C67" s="478"/>
      <c r="D67" s="478"/>
      <c r="E67" s="478"/>
      <c r="F67" s="478"/>
      <c r="G67" s="478"/>
      <c r="H67" s="1">
        <v>0.2</v>
      </c>
      <c r="I67" s="93">
        <f t="shared" ref="I67:I74" si="0">H67*($I$45)</f>
        <v>348.73800000000006</v>
      </c>
      <c r="K67" s="328" t="s">
        <v>40</v>
      </c>
      <c r="L67" s="478" t="s">
        <v>106</v>
      </c>
      <c r="M67" s="478"/>
      <c r="N67" s="478"/>
      <c r="O67" s="478"/>
      <c r="P67" s="478"/>
      <c r="Q67" s="478"/>
      <c r="R67" s="7"/>
      <c r="S67" s="328" t="s">
        <v>40</v>
      </c>
      <c r="T67" s="478" t="s">
        <v>106</v>
      </c>
      <c r="U67" s="478"/>
      <c r="V67" s="478"/>
      <c r="W67" s="478"/>
      <c r="X67" s="478"/>
      <c r="Y67" s="478"/>
      <c r="Z67" s="1">
        <v>0.2</v>
      </c>
      <c r="AA67" s="93">
        <f>Z67*($AA$45)</f>
        <v>676.7</v>
      </c>
    </row>
    <row r="68" spans="1:28" ht="13" x14ac:dyDescent="0.3">
      <c r="A68" s="328" t="s">
        <v>42</v>
      </c>
      <c r="B68" s="478" t="s">
        <v>107</v>
      </c>
      <c r="C68" s="478"/>
      <c r="D68" s="478"/>
      <c r="E68" s="478"/>
      <c r="F68" s="478"/>
      <c r="G68" s="478"/>
      <c r="H68" s="1">
        <v>2.5000000000000001E-2</v>
      </c>
      <c r="I68" s="93">
        <f t="shared" si="0"/>
        <v>43.592250000000007</v>
      </c>
      <c r="K68" s="328" t="s">
        <v>42</v>
      </c>
      <c r="L68" s="478" t="s">
        <v>107</v>
      </c>
      <c r="M68" s="478"/>
      <c r="N68" s="478"/>
      <c r="O68" s="478"/>
      <c r="P68" s="478"/>
      <c r="Q68" s="478"/>
      <c r="R68" s="7"/>
      <c r="S68" s="328" t="s">
        <v>42</v>
      </c>
      <c r="T68" s="478" t="s">
        <v>107</v>
      </c>
      <c r="U68" s="478"/>
      <c r="V68" s="478"/>
      <c r="W68" s="478"/>
      <c r="X68" s="478"/>
      <c r="Y68" s="478"/>
      <c r="Z68" s="1">
        <v>2.5000000000000001E-2</v>
      </c>
      <c r="AA68" s="93">
        <f t="shared" ref="AA68:AA74" si="1">Z68*($AA$45)</f>
        <v>84.587500000000006</v>
      </c>
    </row>
    <row r="69" spans="1:28" ht="13" x14ac:dyDescent="0.3">
      <c r="A69" s="328" t="s">
        <v>45</v>
      </c>
      <c r="B69" s="478" t="s">
        <v>108</v>
      </c>
      <c r="C69" s="478"/>
      <c r="D69" s="478"/>
      <c r="E69" s="478"/>
      <c r="F69" s="478"/>
      <c r="G69" s="478"/>
      <c r="H69" s="1">
        <v>0.03</v>
      </c>
      <c r="I69" s="93">
        <f t="shared" si="0"/>
        <v>52.310699999999997</v>
      </c>
      <c r="J69" s="32" t="s">
        <v>109</v>
      </c>
      <c r="K69" s="328" t="s">
        <v>45</v>
      </c>
      <c r="L69" s="478" t="s">
        <v>108</v>
      </c>
      <c r="M69" s="478"/>
      <c r="N69" s="478"/>
      <c r="O69" s="478"/>
      <c r="P69" s="478"/>
      <c r="Q69" s="478"/>
      <c r="R69" s="7"/>
      <c r="S69" s="328" t="s">
        <v>45</v>
      </c>
      <c r="T69" s="478" t="s">
        <v>108</v>
      </c>
      <c r="U69" s="478"/>
      <c r="V69" s="478"/>
      <c r="W69" s="478"/>
      <c r="X69" s="478"/>
      <c r="Y69" s="478"/>
      <c r="Z69" s="1">
        <v>0.03</v>
      </c>
      <c r="AA69" s="93">
        <f t="shared" si="1"/>
        <v>101.505</v>
      </c>
      <c r="AB69" s="32" t="s">
        <v>109</v>
      </c>
    </row>
    <row r="70" spans="1:28" ht="13" x14ac:dyDescent="0.3">
      <c r="A70" s="328" t="s">
        <v>48</v>
      </c>
      <c r="B70" s="478" t="s">
        <v>110</v>
      </c>
      <c r="C70" s="478"/>
      <c r="D70" s="478"/>
      <c r="E70" s="478"/>
      <c r="F70" s="478"/>
      <c r="G70" s="478"/>
      <c r="H70" s="1">
        <v>1.4999999999999999E-2</v>
      </c>
      <c r="I70" s="93">
        <f t="shared" si="0"/>
        <v>26.155349999999999</v>
      </c>
      <c r="K70" s="328" t="s">
        <v>48</v>
      </c>
      <c r="L70" s="478" t="s">
        <v>110</v>
      </c>
      <c r="M70" s="478"/>
      <c r="N70" s="478"/>
      <c r="O70" s="478"/>
      <c r="P70" s="478"/>
      <c r="Q70" s="478"/>
      <c r="R70" s="7"/>
      <c r="S70" s="328" t="s">
        <v>48</v>
      </c>
      <c r="T70" s="478" t="s">
        <v>110</v>
      </c>
      <c r="U70" s="478"/>
      <c r="V70" s="478"/>
      <c r="W70" s="478"/>
      <c r="X70" s="478"/>
      <c r="Y70" s="478"/>
      <c r="Z70" s="1">
        <v>1.4999999999999999E-2</v>
      </c>
      <c r="AA70" s="93">
        <f t="shared" si="1"/>
        <v>50.752499999999998</v>
      </c>
    </row>
    <row r="71" spans="1:28" ht="13" x14ac:dyDescent="0.3">
      <c r="A71" s="328" t="s">
        <v>84</v>
      </c>
      <c r="B71" s="478" t="s">
        <v>111</v>
      </c>
      <c r="C71" s="478"/>
      <c r="D71" s="478"/>
      <c r="E71" s="478"/>
      <c r="F71" s="478"/>
      <c r="G71" s="478"/>
      <c r="H71" s="1">
        <v>0.01</v>
      </c>
      <c r="I71" s="93">
        <f t="shared" si="0"/>
        <v>17.436900000000001</v>
      </c>
      <c r="K71" s="328" t="s">
        <v>84</v>
      </c>
      <c r="L71" s="478" t="s">
        <v>111</v>
      </c>
      <c r="M71" s="478"/>
      <c r="N71" s="478"/>
      <c r="O71" s="478"/>
      <c r="P71" s="478"/>
      <c r="Q71" s="478"/>
      <c r="R71" s="7"/>
      <c r="S71" s="328" t="s">
        <v>84</v>
      </c>
      <c r="T71" s="478" t="s">
        <v>111</v>
      </c>
      <c r="U71" s="478"/>
      <c r="V71" s="478"/>
      <c r="W71" s="478"/>
      <c r="X71" s="478"/>
      <c r="Y71" s="478"/>
      <c r="Z71" s="1">
        <v>0.01</v>
      </c>
      <c r="AA71" s="93">
        <f t="shared" si="1"/>
        <v>33.835000000000001</v>
      </c>
    </row>
    <row r="72" spans="1:28" ht="13" x14ac:dyDescent="0.3">
      <c r="A72" s="328" t="s">
        <v>86</v>
      </c>
      <c r="B72" s="478" t="s">
        <v>112</v>
      </c>
      <c r="C72" s="478"/>
      <c r="D72" s="478"/>
      <c r="E72" s="478"/>
      <c r="F72" s="478"/>
      <c r="G72" s="478"/>
      <c r="H72" s="1">
        <v>6.0000000000000001E-3</v>
      </c>
      <c r="I72" s="93">
        <f t="shared" si="0"/>
        <v>10.46214</v>
      </c>
      <c r="K72" s="328" t="s">
        <v>86</v>
      </c>
      <c r="L72" s="478" t="s">
        <v>112</v>
      </c>
      <c r="M72" s="478"/>
      <c r="N72" s="478"/>
      <c r="O72" s="478"/>
      <c r="P72" s="478"/>
      <c r="Q72" s="478"/>
      <c r="R72" s="7"/>
      <c r="S72" s="328" t="s">
        <v>86</v>
      </c>
      <c r="T72" s="478" t="s">
        <v>112</v>
      </c>
      <c r="U72" s="478"/>
      <c r="V72" s="478"/>
      <c r="W72" s="478"/>
      <c r="X72" s="478"/>
      <c r="Y72" s="478"/>
      <c r="Z72" s="1">
        <v>6.0000000000000001E-3</v>
      </c>
      <c r="AA72" s="93">
        <f t="shared" si="1"/>
        <v>20.301000000000002</v>
      </c>
    </row>
    <row r="73" spans="1:28" ht="13" x14ac:dyDescent="0.3">
      <c r="A73" s="328" t="s">
        <v>113</v>
      </c>
      <c r="B73" s="478" t="s">
        <v>114</v>
      </c>
      <c r="C73" s="478"/>
      <c r="D73" s="478"/>
      <c r="E73" s="478"/>
      <c r="F73" s="478"/>
      <c r="G73" s="478"/>
      <c r="H73" s="1">
        <v>2E-3</v>
      </c>
      <c r="I73" s="93">
        <f t="shared" si="0"/>
        <v>3.4873800000000004</v>
      </c>
      <c r="K73" s="328" t="s">
        <v>113</v>
      </c>
      <c r="L73" s="478" t="s">
        <v>114</v>
      </c>
      <c r="M73" s="478"/>
      <c r="N73" s="478"/>
      <c r="O73" s="478"/>
      <c r="P73" s="478"/>
      <c r="Q73" s="478"/>
      <c r="R73" s="7"/>
      <c r="S73" s="328" t="s">
        <v>113</v>
      </c>
      <c r="T73" s="478" t="s">
        <v>114</v>
      </c>
      <c r="U73" s="478"/>
      <c r="V73" s="478"/>
      <c r="W73" s="478"/>
      <c r="X73" s="478"/>
      <c r="Y73" s="478"/>
      <c r="Z73" s="1">
        <v>2E-3</v>
      </c>
      <c r="AA73" s="93">
        <f t="shared" si="1"/>
        <v>6.7670000000000003</v>
      </c>
    </row>
    <row r="74" spans="1:28" ht="13" x14ac:dyDescent="0.3">
      <c r="A74" s="328" t="s">
        <v>115</v>
      </c>
      <c r="B74" s="478" t="s">
        <v>116</v>
      </c>
      <c r="C74" s="478"/>
      <c r="D74" s="478"/>
      <c r="E74" s="478"/>
      <c r="F74" s="478"/>
      <c r="G74" s="478"/>
      <c r="H74" s="1">
        <v>0.08</v>
      </c>
      <c r="I74" s="93">
        <f t="shared" si="0"/>
        <v>139.49520000000001</v>
      </c>
      <c r="K74" s="328" t="s">
        <v>115</v>
      </c>
      <c r="L74" s="478" t="s">
        <v>116</v>
      </c>
      <c r="M74" s="478"/>
      <c r="N74" s="478"/>
      <c r="O74" s="478"/>
      <c r="P74" s="478"/>
      <c r="Q74" s="478"/>
      <c r="R74" s="7"/>
      <c r="S74" s="328" t="s">
        <v>115</v>
      </c>
      <c r="T74" s="478" t="s">
        <v>116</v>
      </c>
      <c r="U74" s="478"/>
      <c r="V74" s="478"/>
      <c r="W74" s="478"/>
      <c r="X74" s="478"/>
      <c r="Y74" s="478"/>
      <c r="Z74" s="1">
        <v>0.08</v>
      </c>
      <c r="AA74" s="93">
        <f t="shared" si="1"/>
        <v>270.68</v>
      </c>
    </row>
    <row r="75" spans="1:28" ht="13" x14ac:dyDescent="0.3">
      <c r="A75" s="479" t="s">
        <v>11</v>
      </c>
      <c r="B75" s="480"/>
      <c r="C75" s="480"/>
      <c r="D75" s="480"/>
      <c r="E75" s="480"/>
      <c r="F75" s="480"/>
      <c r="G75" s="480"/>
      <c r="H75" s="42">
        <f>SUM(H67:H74)</f>
        <v>0.36800000000000005</v>
      </c>
      <c r="I75" s="346">
        <f>SUM(I67:I74)</f>
        <v>641.67792000000009</v>
      </c>
      <c r="K75" s="479" t="s">
        <v>11</v>
      </c>
      <c r="L75" s="480"/>
      <c r="M75" s="480"/>
      <c r="N75" s="480"/>
      <c r="O75" s="480"/>
      <c r="P75" s="480"/>
      <c r="Q75" s="480"/>
      <c r="R75" s="4"/>
      <c r="S75" s="479" t="s">
        <v>11</v>
      </c>
      <c r="T75" s="480"/>
      <c r="U75" s="480"/>
      <c r="V75" s="480"/>
      <c r="W75" s="480"/>
      <c r="X75" s="480"/>
      <c r="Y75" s="480"/>
      <c r="Z75" s="42">
        <f>SUM(Z67:Z74)</f>
        <v>0.36800000000000005</v>
      </c>
      <c r="AA75" s="346">
        <f>SUM(AA67:AA74)</f>
        <v>1245.1280000000002</v>
      </c>
    </row>
    <row r="76" spans="1:28" ht="13" x14ac:dyDescent="0.3">
      <c r="A76" s="344"/>
      <c r="B76" s="3"/>
      <c r="C76" s="3"/>
      <c r="D76" s="3"/>
      <c r="E76" s="3"/>
      <c r="F76" s="3"/>
      <c r="G76" s="3"/>
      <c r="H76" s="44"/>
      <c r="I76" s="72"/>
      <c r="K76" s="344"/>
      <c r="L76" s="3"/>
      <c r="M76" s="3"/>
      <c r="N76" s="3"/>
      <c r="O76" s="3"/>
      <c r="P76" s="3"/>
      <c r="Q76" s="3"/>
      <c r="R76" s="4"/>
      <c r="S76" s="344"/>
      <c r="T76" s="3"/>
      <c r="U76" s="3"/>
      <c r="V76" s="3"/>
      <c r="W76" s="3"/>
      <c r="X76" s="3"/>
      <c r="Y76" s="3"/>
      <c r="Z76" s="44"/>
      <c r="AA76" s="72"/>
    </row>
    <row r="77" spans="1:28" ht="13" x14ac:dyDescent="0.3">
      <c r="A77" s="332" t="s">
        <v>117</v>
      </c>
      <c r="B77" s="3"/>
      <c r="C77" s="3"/>
      <c r="D77" s="3"/>
      <c r="E77" s="3"/>
      <c r="F77" s="3"/>
      <c r="G77" s="3"/>
      <c r="H77" s="44"/>
      <c r="I77" s="72"/>
      <c r="K77" s="332" t="s">
        <v>117</v>
      </c>
      <c r="L77" s="3"/>
      <c r="M77" s="3"/>
      <c r="N77" s="3"/>
      <c r="O77" s="3"/>
      <c r="P77" s="3"/>
      <c r="Q77" s="3"/>
      <c r="R77" s="4"/>
      <c r="S77" s="332" t="s">
        <v>117</v>
      </c>
      <c r="T77" s="3"/>
      <c r="U77" s="3"/>
      <c r="V77" s="3"/>
      <c r="W77" s="3"/>
      <c r="X77" s="3"/>
      <c r="Y77" s="3"/>
      <c r="Z77" s="44"/>
      <c r="AA77" s="72"/>
    </row>
    <row r="78" spans="1:28" ht="13" x14ac:dyDescent="0.3">
      <c r="A78" s="332" t="s">
        <v>118</v>
      </c>
      <c r="B78" s="3"/>
      <c r="C78" s="3"/>
      <c r="D78" s="3"/>
      <c r="E78" s="3"/>
      <c r="F78" s="3"/>
      <c r="G78" s="3"/>
      <c r="H78" s="44"/>
      <c r="I78" s="72"/>
      <c r="K78" s="332" t="s">
        <v>118</v>
      </c>
      <c r="L78" s="3"/>
      <c r="M78" s="3"/>
      <c r="N78" s="3"/>
      <c r="O78" s="3"/>
      <c r="P78" s="3"/>
      <c r="Q78" s="3"/>
      <c r="R78" s="4"/>
      <c r="S78" s="332" t="s">
        <v>118</v>
      </c>
      <c r="T78" s="3"/>
      <c r="U78" s="3"/>
      <c r="V78" s="3"/>
      <c r="W78" s="3"/>
      <c r="X78" s="3"/>
      <c r="Y78" s="3"/>
      <c r="Z78" s="44"/>
      <c r="AA78" s="72"/>
    </row>
    <row r="79" spans="1:28" ht="13" x14ac:dyDescent="0.3">
      <c r="A79" s="332" t="s">
        <v>119</v>
      </c>
      <c r="B79" s="3"/>
      <c r="C79" s="3"/>
      <c r="D79" s="3"/>
      <c r="E79" s="3"/>
      <c r="F79" s="3"/>
      <c r="G79" s="3"/>
      <c r="H79" s="44"/>
      <c r="I79" s="72"/>
      <c r="K79" s="332" t="s">
        <v>119</v>
      </c>
      <c r="L79" s="3"/>
      <c r="M79" s="3"/>
      <c r="N79" s="3"/>
      <c r="O79" s="3"/>
      <c r="P79" s="3"/>
      <c r="Q79" s="3"/>
      <c r="R79" s="4"/>
      <c r="S79" s="332" t="s">
        <v>119</v>
      </c>
      <c r="T79" s="3"/>
      <c r="U79" s="3"/>
      <c r="V79" s="3"/>
      <c r="W79" s="3"/>
      <c r="X79" s="3"/>
      <c r="Y79" s="3"/>
      <c r="Z79" s="44"/>
      <c r="AA79" s="72"/>
    </row>
    <row r="80" spans="1:28" ht="13" x14ac:dyDescent="0.3">
      <c r="A80" s="332" t="s">
        <v>120</v>
      </c>
      <c r="B80" s="3"/>
      <c r="C80" s="3"/>
      <c r="D80" s="3"/>
      <c r="E80" s="3"/>
      <c r="F80" s="3"/>
      <c r="G80" s="3"/>
      <c r="H80" s="44"/>
      <c r="I80" s="72"/>
      <c r="K80" s="332" t="s">
        <v>120</v>
      </c>
      <c r="L80" s="3"/>
      <c r="M80" s="3"/>
      <c r="N80" s="3"/>
      <c r="O80" s="3"/>
      <c r="P80" s="3"/>
      <c r="Q80" s="3"/>
      <c r="R80" s="4"/>
      <c r="S80" s="332" t="s">
        <v>120</v>
      </c>
      <c r="T80" s="3"/>
      <c r="U80" s="3"/>
      <c r="V80" s="3"/>
      <c r="W80" s="3"/>
      <c r="X80" s="3"/>
      <c r="Y80" s="3"/>
      <c r="Z80" s="44"/>
      <c r="AA80" s="72"/>
    </row>
    <row r="81" spans="1:27" ht="13" x14ac:dyDescent="0.3">
      <c r="A81" s="332" t="s">
        <v>121</v>
      </c>
      <c r="B81" s="3"/>
      <c r="C81" s="3"/>
      <c r="D81" s="3"/>
      <c r="E81" s="3"/>
      <c r="F81" s="3"/>
      <c r="G81" s="3"/>
      <c r="H81" s="44"/>
      <c r="I81" s="72"/>
      <c r="K81" s="332" t="s">
        <v>121</v>
      </c>
      <c r="L81" s="3"/>
      <c r="M81" s="3"/>
      <c r="N81" s="3"/>
      <c r="O81" s="3"/>
      <c r="P81" s="3"/>
      <c r="Q81" s="3"/>
      <c r="R81" s="4"/>
      <c r="S81" s="332" t="s">
        <v>121</v>
      </c>
      <c r="T81" s="3"/>
      <c r="U81" s="3"/>
      <c r="V81" s="3"/>
      <c r="W81" s="3"/>
      <c r="X81" s="3"/>
      <c r="Y81" s="3"/>
      <c r="Z81" s="44"/>
      <c r="AA81" s="72"/>
    </row>
    <row r="82" spans="1:27" ht="13" x14ac:dyDescent="0.3">
      <c r="A82" s="70"/>
      <c r="B82" s="10"/>
      <c r="C82" s="10"/>
      <c r="D82" s="10"/>
      <c r="E82" s="10"/>
      <c r="F82" s="10"/>
      <c r="G82" s="10"/>
      <c r="H82" s="10"/>
      <c r="I82" s="108"/>
      <c r="K82" s="70"/>
      <c r="L82" s="10"/>
      <c r="M82" s="10"/>
      <c r="N82" s="10"/>
      <c r="O82" s="10"/>
      <c r="P82" s="10"/>
      <c r="Q82" s="10"/>
      <c r="R82" s="10"/>
      <c r="S82" s="70"/>
      <c r="T82" s="10"/>
      <c r="U82" s="10"/>
      <c r="V82" s="10"/>
      <c r="W82" s="10"/>
      <c r="X82" s="10"/>
      <c r="Y82" s="10"/>
      <c r="Z82" s="10"/>
      <c r="AA82" s="108"/>
    </row>
    <row r="83" spans="1:27" ht="13" x14ac:dyDescent="0.3">
      <c r="A83" s="348" t="s">
        <v>122</v>
      </c>
      <c r="B83" s="495" t="s">
        <v>123</v>
      </c>
      <c r="C83" s="496"/>
      <c r="D83" s="496"/>
      <c r="E83" s="496"/>
      <c r="F83" s="496"/>
      <c r="G83" s="497"/>
      <c r="H83" s="42"/>
      <c r="I83" s="323" t="s">
        <v>77</v>
      </c>
      <c r="K83" s="348" t="s">
        <v>122</v>
      </c>
      <c r="L83" s="495" t="s">
        <v>123</v>
      </c>
      <c r="M83" s="496"/>
      <c r="N83" s="496"/>
      <c r="O83" s="496"/>
      <c r="P83" s="496"/>
      <c r="Q83" s="497"/>
      <c r="R83" s="3"/>
      <c r="S83" s="348" t="s">
        <v>122</v>
      </c>
      <c r="T83" s="495" t="s">
        <v>123</v>
      </c>
      <c r="U83" s="496"/>
      <c r="V83" s="496"/>
      <c r="W83" s="496"/>
      <c r="X83" s="496"/>
      <c r="Y83" s="497"/>
      <c r="Z83" s="42"/>
      <c r="AA83" s="323" t="s">
        <v>77</v>
      </c>
    </row>
    <row r="84" spans="1:27" ht="14.15" customHeight="1" x14ac:dyDescent="0.3">
      <c r="A84" s="328" t="s">
        <v>40</v>
      </c>
      <c r="B84" s="486" t="s">
        <v>124</v>
      </c>
      <c r="C84" s="486"/>
      <c r="D84" s="486"/>
      <c r="E84" s="486"/>
      <c r="F84" s="486"/>
      <c r="G84" s="486"/>
      <c r="H84" s="23" t="s">
        <v>125</v>
      </c>
      <c r="I84" s="349">
        <f>'Mód2.3 '!E12</f>
        <v>137.37860000000001</v>
      </c>
      <c r="K84" s="328" t="s">
        <v>40</v>
      </c>
      <c r="L84" s="486" t="s">
        <v>124</v>
      </c>
      <c r="M84" s="486"/>
      <c r="N84" s="486"/>
      <c r="O84" s="486"/>
      <c r="P84" s="486"/>
      <c r="Q84" s="486"/>
      <c r="R84" s="308"/>
      <c r="S84" s="328" t="s">
        <v>40</v>
      </c>
      <c r="T84" s="486" t="s">
        <v>124</v>
      </c>
      <c r="U84" s="486"/>
      <c r="V84" s="486"/>
      <c r="W84" s="486"/>
      <c r="X84" s="486"/>
      <c r="Y84" s="486"/>
      <c r="Z84" s="23" t="s">
        <v>125</v>
      </c>
      <c r="AA84" s="349">
        <f>'Mód2.3 '!I12</f>
        <v>38.990000000000009</v>
      </c>
    </row>
    <row r="85" spans="1:27" ht="13" x14ac:dyDescent="0.3">
      <c r="A85" s="328" t="s">
        <v>42</v>
      </c>
      <c r="B85" s="486" t="s">
        <v>126</v>
      </c>
      <c r="C85" s="486"/>
      <c r="D85" s="486"/>
      <c r="E85" s="486"/>
      <c r="F85" s="486"/>
      <c r="G85" s="486"/>
      <c r="H85" s="23" t="s">
        <v>125</v>
      </c>
      <c r="I85" s="349">
        <f>'Mód2.3 '!E25</f>
        <v>974.59999999999991</v>
      </c>
      <c r="K85" s="328" t="s">
        <v>42</v>
      </c>
      <c r="L85" s="486" t="s">
        <v>126</v>
      </c>
      <c r="M85" s="486"/>
      <c r="N85" s="486"/>
      <c r="O85" s="486"/>
      <c r="P85" s="486"/>
      <c r="Q85" s="486"/>
      <c r="R85" s="308"/>
      <c r="S85" s="328" t="s">
        <v>42</v>
      </c>
      <c r="T85" s="486" t="s">
        <v>126</v>
      </c>
      <c r="U85" s="486"/>
      <c r="V85" s="486"/>
      <c r="W85" s="486"/>
      <c r="X85" s="486"/>
      <c r="Y85" s="486"/>
      <c r="Z85" s="23" t="s">
        <v>125</v>
      </c>
      <c r="AA85" s="349">
        <f>I85</f>
        <v>974.59999999999991</v>
      </c>
    </row>
    <row r="86" spans="1:27" ht="13" x14ac:dyDescent="0.3">
      <c r="A86" s="328" t="s">
        <v>45</v>
      </c>
      <c r="B86" s="486" t="s">
        <v>127</v>
      </c>
      <c r="C86" s="486"/>
      <c r="D86" s="486"/>
      <c r="E86" s="486"/>
      <c r="F86" s="486"/>
      <c r="G86" s="486"/>
      <c r="H86" s="23" t="s">
        <v>125</v>
      </c>
      <c r="I86" s="349">
        <f>'Mód2.3 '!E33</f>
        <v>0</v>
      </c>
      <c r="K86" s="328" t="s">
        <v>45</v>
      </c>
      <c r="L86" s="486" t="s">
        <v>127</v>
      </c>
      <c r="M86" s="486"/>
      <c r="N86" s="486"/>
      <c r="O86" s="486"/>
      <c r="P86" s="486"/>
      <c r="Q86" s="486"/>
      <c r="R86" s="308"/>
      <c r="S86" s="328" t="s">
        <v>45</v>
      </c>
      <c r="T86" s="486" t="s">
        <v>127</v>
      </c>
      <c r="U86" s="486"/>
      <c r="V86" s="486"/>
      <c r="W86" s="486"/>
      <c r="X86" s="486"/>
      <c r="Y86" s="486"/>
      <c r="Z86" s="23" t="s">
        <v>125</v>
      </c>
      <c r="AA86" s="349">
        <f>I86</f>
        <v>0</v>
      </c>
    </row>
    <row r="87" spans="1:27" ht="15" customHeight="1" x14ac:dyDescent="0.3">
      <c r="A87" s="345" t="s">
        <v>48</v>
      </c>
      <c r="B87" s="551" t="s">
        <v>548</v>
      </c>
      <c r="C87" s="486"/>
      <c r="D87" s="486"/>
      <c r="E87" s="486"/>
      <c r="F87" s="486"/>
      <c r="G87" s="486"/>
      <c r="H87" s="36" t="s">
        <v>125</v>
      </c>
      <c r="I87" s="350">
        <f>'Mód2.3 '!E42</f>
        <v>13.64</v>
      </c>
      <c r="K87" s="345" t="s">
        <v>48</v>
      </c>
      <c r="L87" s="515" t="s">
        <v>129</v>
      </c>
      <c r="M87" s="515"/>
      <c r="N87" s="515"/>
      <c r="O87" s="515"/>
      <c r="P87" s="515"/>
      <c r="Q87" s="515"/>
      <c r="R87" s="314"/>
      <c r="S87" s="345" t="s">
        <v>48</v>
      </c>
      <c r="T87" s="515" t="s">
        <v>129</v>
      </c>
      <c r="U87" s="515"/>
      <c r="V87" s="515"/>
      <c r="W87" s="515"/>
      <c r="X87" s="515"/>
      <c r="Y87" s="515"/>
      <c r="Z87" s="36" t="s">
        <v>125</v>
      </c>
      <c r="AA87" s="349">
        <f>I87</f>
        <v>13.64</v>
      </c>
    </row>
    <row r="88" spans="1:27" ht="13" x14ac:dyDescent="0.3">
      <c r="A88" s="328" t="s">
        <v>84</v>
      </c>
      <c r="B88" s="486" t="s">
        <v>130</v>
      </c>
      <c r="C88" s="486"/>
      <c r="D88" s="486"/>
      <c r="E88" s="486"/>
      <c r="F88" s="486"/>
      <c r="G88" s="486"/>
      <c r="H88" s="23" t="s">
        <v>125</v>
      </c>
      <c r="I88" s="349">
        <f>'Mód2.3 '!E52</f>
        <v>3.61</v>
      </c>
      <c r="K88" s="328" t="s">
        <v>84</v>
      </c>
      <c r="L88" s="486" t="s">
        <v>130</v>
      </c>
      <c r="M88" s="486"/>
      <c r="N88" s="486"/>
      <c r="O88" s="486"/>
      <c r="P88" s="486"/>
      <c r="Q88" s="486"/>
      <c r="R88" s="308"/>
      <c r="S88" s="328" t="s">
        <v>84</v>
      </c>
      <c r="T88" s="486" t="s">
        <v>130</v>
      </c>
      <c r="U88" s="486"/>
      <c r="V88" s="486"/>
      <c r="W88" s="486"/>
      <c r="X88" s="486"/>
      <c r="Y88" s="486"/>
      <c r="Z88" s="23" t="s">
        <v>125</v>
      </c>
      <c r="AA88" s="349">
        <f>I88</f>
        <v>3.61</v>
      </c>
    </row>
    <row r="89" spans="1:27" ht="13" x14ac:dyDescent="0.3">
      <c r="A89" s="328"/>
      <c r="B89" s="551"/>
      <c r="C89" s="486"/>
      <c r="D89" s="486"/>
      <c r="E89" s="486"/>
      <c r="F89" s="486"/>
      <c r="G89" s="486"/>
      <c r="H89" s="23"/>
      <c r="I89" s="349"/>
      <c r="K89" s="328" t="s">
        <v>86</v>
      </c>
      <c r="L89" s="486" t="s">
        <v>131</v>
      </c>
      <c r="M89" s="486"/>
      <c r="N89" s="486"/>
      <c r="O89" s="486"/>
      <c r="P89" s="486"/>
      <c r="Q89" s="486"/>
      <c r="R89" s="308"/>
      <c r="S89" s="328" t="s">
        <v>86</v>
      </c>
      <c r="T89" s="486" t="s">
        <v>131</v>
      </c>
      <c r="U89" s="486"/>
      <c r="V89" s="486"/>
      <c r="W89" s="486"/>
      <c r="X89" s="486"/>
      <c r="Y89" s="486"/>
      <c r="Z89" s="23" t="s">
        <v>125</v>
      </c>
      <c r="AA89" s="349">
        <f>I89</f>
        <v>0</v>
      </c>
    </row>
    <row r="90" spans="1:27" ht="13" x14ac:dyDescent="0.3">
      <c r="A90" s="479" t="s">
        <v>132</v>
      </c>
      <c r="B90" s="480"/>
      <c r="C90" s="480"/>
      <c r="D90" s="480"/>
      <c r="E90" s="480"/>
      <c r="F90" s="480"/>
      <c r="G90" s="480"/>
      <c r="H90" s="480"/>
      <c r="I90" s="346">
        <f>SUM(I84:I89)</f>
        <v>1129.2285999999999</v>
      </c>
      <c r="K90" s="479" t="s">
        <v>132</v>
      </c>
      <c r="L90" s="480"/>
      <c r="M90" s="480"/>
      <c r="N90" s="480"/>
      <c r="O90" s="480"/>
      <c r="P90" s="480"/>
      <c r="Q90" s="480"/>
      <c r="R90" s="4"/>
      <c r="S90" s="479" t="s">
        <v>132</v>
      </c>
      <c r="T90" s="480"/>
      <c r="U90" s="480"/>
      <c r="V90" s="480"/>
      <c r="W90" s="480"/>
      <c r="X90" s="480"/>
      <c r="Y90" s="480"/>
      <c r="Z90" s="480"/>
      <c r="AA90" s="346">
        <f>SUM(AA84:AA89)</f>
        <v>1030.8399999999999</v>
      </c>
    </row>
    <row r="91" spans="1:27" ht="13" x14ac:dyDescent="0.3">
      <c r="A91" s="344"/>
      <c r="B91" s="3"/>
      <c r="C91" s="3"/>
      <c r="D91" s="3"/>
      <c r="E91" s="3"/>
      <c r="F91" s="3"/>
      <c r="G91" s="3"/>
      <c r="H91" s="3"/>
      <c r="I91" s="72"/>
      <c r="K91" s="344"/>
      <c r="L91" s="3"/>
      <c r="M91" s="3"/>
      <c r="N91" s="3"/>
      <c r="O91" s="3"/>
      <c r="P91" s="3"/>
      <c r="Q91" s="3"/>
      <c r="R91" s="4"/>
      <c r="S91" s="344"/>
      <c r="T91" s="3"/>
      <c r="U91" s="3"/>
      <c r="V91" s="3"/>
      <c r="W91" s="3"/>
      <c r="X91" s="3"/>
      <c r="Y91" s="3"/>
      <c r="Z91" s="3"/>
      <c r="AA91" s="72"/>
    </row>
    <row r="92" spans="1:27" ht="13" x14ac:dyDescent="0.3">
      <c r="A92" s="332" t="s">
        <v>133</v>
      </c>
      <c r="B92" s="3"/>
      <c r="C92" s="3"/>
      <c r="D92" s="3"/>
      <c r="E92" s="3"/>
      <c r="F92" s="3"/>
      <c r="G92" s="3"/>
      <c r="H92" s="3"/>
      <c r="I92" s="72"/>
      <c r="K92" s="332" t="s">
        <v>133</v>
      </c>
      <c r="L92" s="3"/>
      <c r="M92" s="3"/>
      <c r="N92" s="3"/>
      <c r="O92" s="3"/>
      <c r="P92" s="3"/>
      <c r="Q92" s="3"/>
      <c r="R92" s="4"/>
      <c r="S92" s="332" t="s">
        <v>133</v>
      </c>
      <c r="T92" s="3"/>
      <c r="U92" s="3"/>
      <c r="V92" s="3"/>
      <c r="W92" s="3"/>
      <c r="X92" s="3"/>
      <c r="Y92" s="3"/>
      <c r="Z92" s="3"/>
      <c r="AA92" s="72"/>
    </row>
    <row r="93" spans="1:27" ht="13" x14ac:dyDescent="0.3">
      <c r="A93" s="332" t="s">
        <v>134</v>
      </c>
      <c r="B93" s="3"/>
      <c r="C93" s="3"/>
      <c r="D93" s="3"/>
      <c r="E93" s="3"/>
      <c r="F93" s="3"/>
      <c r="G93" s="3"/>
      <c r="H93" s="3"/>
      <c r="I93" s="72"/>
      <c r="K93" s="332" t="s">
        <v>134</v>
      </c>
      <c r="L93" s="3"/>
      <c r="M93" s="3"/>
      <c r="N93" s="3"/>
      <c r="O93" s="3"/>
      <c r="P93" s="3"/>
      <c r="Q93" s="3"/>
      <c r="R93" s="4"/>
      <c r="S93" s="332" t="s">
        <v>134</v>
      </c>
      <c r="T93" s="3"/>
      <c r="U93" s="3"/>
      <c r="V93" s="3"/>
      <c r="W93" s="3"/>
      <c r="X93" s="3"/>
      <c r="Y93" s="3"/>
      <c r="Z93" s="3"/>
      <c r="AA93" s="72"/>
    </row>
    <row r="94" spans="1:27" ht="13" x14ac:dyDescent="0.3">
      <c r="A94" s="332" t="s">
        <v>135</v>
      </c>
      <c r="B94" s="3"/>
      <c r="C94" s="3"/>
      <c r="D94" s="3"/>
      <c r="E94" s="3"/>
      <c r="F94" s="3"/>
      <c r="G94" s="3"/>
      <c r="H94" s="3"/>
      <c r="I94" s="72"/>
      <c r="K94" s="332" t="s">
        <v>135</v>
      </c>
      <c r="L94" s="3"/>
      <c r="M94" s="3"/>
      <c r="N94" s="3"/>
      <c r="O94" s="3"/>
      <c r="P94" s="3"/>
      <c r="Q94" s="3"/>
      <c r="R94" s="4"/>
      <c r="S94" s="332" t="s">
        <v>135</v>
      </c>
      <c r="T94" s="3"/>
      <c r="U94" s="3"/>
      <c r="V94" s="3"/>
      <c r="W94" s="3"/>
      <c r="X94" s="3"/>
      <c r="Y94" s="3"/>
      <c r="Z94" s="3"/>
      <c r="AA94" s="72"/>
    </row>
    <row r="95" spans="1:27" ht="13" x14ac:dyDescent="0.3">
      <c r="A95" s="332" t="s">
        <v>136</v>
      </c>
      <c r="B95" s="3"/>
      <c r="C95" s="3"/>
      <c r="D95" s="3"/>
      <c r="E95" s="3"/>
      <c r="F95" s="3"/>
      <c r="G95" s="3"/>
      <c r="H95" s="3"/>
      <c r="I95" s="72"/>
      <c r="K95" s="332" t="s">
        <v>136</v>
      </c>
      <c r="L95" s="3"/>
      <c r="M95" s="3"/>
      <c r="N95" s="3"/>
      <c r="O95" s="3"/>
      <c r="P95" s="3"/>
      <c r="Q95" s="3"/>
      <c r="R95" s="4"/>
      <c r="S95" s="332" t="s">
        <v>136</v>
      </c>
      <c r="T95" s="3"/>
      <c r="U95" s="3"/>
      <c r="V95" s="3"/>
      <c r="W95" s="3"/>
      <c r="X95" s="3"/>
      <c r="Y95" s="3"/>
      <c r="Z95" s="3"/>
      <c r="AA95" s="72"/>
    </row>
    <row r="96" spans="1:27" ht="13" x14ac:dyDescent="0.3">
      <c r="A96" s="70"/>
      <c r="B96" s="10"/>
      <c r="C96" s="10"/>
      <c r="D96" s="10"/>
      <c r="E96" s="10"/>
      <c r="F96" s="10"/>
      <c r="G96" s="10"/>
      <c r="H96" s="10"/>
      <c r="I96" s="108"/>
      <c r="K96" s="70"/>
      <c r="L96" s="10"/>
      <c r="M96" s="10"/>
      <c r="N96" s="10"/>
      <c r="O96" s="10"/>
      <c r="P96" s="10"/>
      <c r="Q96" s="10"/>
      <c r="R96" s="10"/>
      <c r="S96" s="70"/>
      <c r="T96" s="10"/>
      <c r="U96" s="10"/>
      <c r="V96" s="10"/>
      <c r="W96" s="10"/>
      <c r="X96" s="10"/>
      <c r="Y96" s="10"/>
      <c r="Z96" s="10"/>
      <c r="AA96" s="108"/>
    </row>
    <row r="97" spans="1:27" ht="13" x14ac:dyDescent="0.3">
      <c r="A97" s="348">
        <v>2</v>
      </c>
      <c r="B97" s="48" t="s">
        <v>137</v>
      </c>
      <c r="C97" s="48"/>
      <c r="D97" s="48"/>
      <c r="E97" s="48"/>
      <c r="F97" s="48"/>
      <c r="G97" s="48"/>
      <c r="H97" s="48"/>
      <c r="I97" s="351"/>
      <c r="K97" s="348">
        <v>2</v>
      </c>
      <c r="L97" s="48" t="s">
        <v>137</v>
      </c>
      <c r="M97" s="48"/>
      <c r="N97" s="48"/>
      <c r="O97" s="48"/>
      <c r="P97" s="48"/>
      <c r="Q97" s="48"/>
      <c r="R97" s="10"/>
      <c r="S97" s="348">
        <v>2</v>
      </c>
      <c r="T97" s="48" t="s">
        <v>137</v>
      </c>
      <c r="U97" s="48"/>
      <c r="V97" s="48"/>
      <c r="W97" s="48"/>
      <c r="X97" s="48"/>
      <c r="Y97" s="48"/>
      <c r="Z97" s="48"/>
      <c r="AA97" s="351"/>
    </row>
    <row r="98" spans="1:27" ht="13" x14ac:dyDescent="0.3">
      <c r="A98" s="482" t="s">
        <v>138</v>
      </c>
      <c r="B98" s="477"/>
      <c r="C98" s="477"/>
      <c r="D98" s="477"/>
      <c r="E98" s="477"/>
      <c r="F98" s="477"/>
      <c r="G98" s="477"/>
      <c r="H98" s="477"/>
      <c r="I98" s="329" t="s">
        <v>77</v>
      </c>
      <c r="K98" s="482" t="s">
        <v>138</v>
      </c>
      <c r="L98" s="477"/>
      <c r="M98" s="477"/>
      <c r="N98" s="477"/>
      <c r="O98" s="477"/>
      <c r="P98" s="477"/>
      <c r="Q98" s="477"/>
      <c r="R98" s="3"/>
      <c r="S98" s="482" t="s">
        <v>138</v>
      </c>
      <c r="T98" s="477"/>
      <c r="U98" s="477"/>
      <c r="V98" s="477"/>
      <c r="W98" s="477"/>
      <c r="X98" s="477"/>
      <c r="Y98" s="477"/>
      <c r="Z98" s="477"/>
      <c r="AA98" s="329" t="s">
        <v>77</v>
      </c>
    </row>
    <row r="99" spans="1:27" ht="13" x14ac:dyDescent="0.3">
      <c r="A99" s="328" t="s">
        <v>92</v>
      </c>
      <c r="B99" s="514" t="s">
        <v>139</v>
      </c>
      <c r="C99" s="514"/>
      <c r="D99" s="514"/>
      <c r="E99" s="514"/>
      <c r="F99" s="514"/>
      <c r="G99" s="514"/>
      <c r="H99" s="514"/>
      <c r="I99" s="93">
        <f>I56</f>
        <v>487.38878905600006</v>
      </c>
      <c r="K99" s="328" t="s">
        <v>92</v>
      </c>
      <c r="L99" s="514" t="s">
        <v>139</v>
      </c>
      <c r="M99" s="514"/>
      <c r="N99" s="514"/>
      <c r="O99" s="514"/>
      <c r="P99" s="514"/>
      <c r="Q99" s="514"/>
      <c r="R99" s="7"/>
      <c r="S99" s="328" t="s">
        <v>92</v>
      </c>
      <c r="T99" s="514" t="s">
        <v>139</v>
      </c>
      <c r="U99" s="514"/>
      <c r="V99" s="514"/>
      <c r="W99" s="514"/>
      <c r="X99" s="514"/>
      <c r="Y99" s="514"/>
      <c r="Z99" s="514"/>
      <c r="AA99" s="93">
        <f>AA56</f>
        <v>945.74148373333344</v>
      </c>
    </row>
    <row r="100" spans="1:27" ht="13" x14ac:dyDescent="0.3">
      <c r="A100" s="328" t="s">
        <v>104</v>
      </c>
      <c r="B100" s="514" t="s">
        <v>140</v>
      </c>
      <c r="C100" s="514"/>
      <c r="D100" s="514"/>
      <c r="E100" s="514"/>
      <c r="F100" s="514"/>
      <c r="G100" s="514"/>
      <c r="H100" s="514"/>
      <c r="I100" s="93">
        <f>I75</f>
        <v>641.67792000000009</v>
      </c>
      <c r="K100" s="328" t="s">
        <v>104</v>
      </c>
      <c r="L100" s="514" t="s">
        <v>140</v>
      </c>
      <c r="M100" s="514"/>
      <c r="N100" s="514"/>
      <c r="O100" s="514"/>
      <c r="P100" s="514"/>
      <c r="Q100" s="514"/>
      <c r="R100" s="7"/>
      <c r="S100" s="328" t="s">
        <v>104</v>
      </c>
      <c r="T100" s="514" t="s">
        <v>140</v>
      </c>
      <c r="U100" s="514"/>
      <c r="V100" s="514"/>
      <c r="W100" s="514"/>
      <c r="X100" s="514"/>
      <c r="Y100" s="514"/>
      <c r="Z100" s="514"/>
      <c r="AA100" s="93">
        <f>AA75</f>
        <v>1245.1280000000002</v>
      </c>
    </row>
    <row r="101" spans="1:27" ht="13" x14ac:dyDescent="0.3">
      <c r="A101" s="328" t="s">
        <v>122</v>
      </c>
      <c r="B101" s="514" t="s">
        <v>141</v>
      </c>
      <c r="C101" s="514"/>
      <c r="D101" s="514"/>
      <c r="E101" s="514"/>
      <c r="F101" s="514"/>
      <c r="G101" s="514"/>
      <c r="H101" s="514"/>
      <c r="I101" s="93">
        <f>I90</f>
        <v>1129.2285999999999</v>
      </c>
      <c r="K101" s="328" t="s">
        <v>122</v>
      </c>
      <c r="L101" s="514" t="s">
        <v>141</v>
      </c>
      <c r="M101" s="514"/>
      <c r="N101" s="514"/>
      <c r="O101" s="514"/>
      <c r="P101" s="514"/>
      <c r="Q101" s="514"/>
      <c r="R101" s="7"/>
      <c r="S101" s="328" t="s">
        <v>122</v>
      </c>
      <c r="T101" s="514" t="s">
        <v>141</v>
      </c>
      <c r="U101" s="514"/>
      <c r="V101" s="514"/>
      <c r="W101" s="514"/>
      <c r="X101" s="514"/>
      <c r="Y101" s="514"/>
      <c r="Z101" s="514"/>
      <c r="AA101" s="93">
        <f>AA90</f>
        <v>1030.8399999999999</v>
      </c>
    </row>
    <row r="102" spans="1:27" ht="13" x14ac:dyDescent="0.3">
      <c r="A102" s="484" t="s">
        <v>142</v>
      </c>
      <c r="B102" s="485"/>
      <c r="C102" s="485"/>
      <c r="D102" s="485"/>
      <c r="E102" s="485"/>
      <c r="F102" s="485"/>
      <c r="G102" s="485"/>
      <c r="H102" s="485"/>
      <c r="I102" s="352">
        <f>SUM(I99:I101)</f>
        <v>2258.295309056</v>
      </c>
      <c r="K102" s="484" t="s">
        <v>142</v>
      </c>
      <c r="L102" s="485"/>
      <c r="M102" s="485"/>
      <c r="N102" s="485"/>
      <c r="O102" s="485"/>
      <c r="P102" s="485"/>
      <c r="Q102" s="485"/>
      <c r="R102" s="315"/>
      <c r="S102" s="484" t="s">
        <v>142</v>
      </c>
      <c r="T102" s="485"/>
      <c r="U102" s="485"/>
      <c r="V102" s="485"/>
      <c r="W102" s="485"/>
      <c r="X102" s="485"/>
      <c r="Y102" s="485"/>
      <c r="Z102" s="485"/>
      <c r="AA102" s="352">
        <f>SUM(AA99:AA101)</f>
        <v>3221.7094837333334</v>
      </c>
    </row>
    <row r="103" spans="1:27" ht="13" x14ac:dyDescent="0.3">
      <c r="A103" s="493"/>
      <c r="B103" s="494"/>
      <c r="C103" s="494"/>
      <c r="D103" s="494"/>
      <c r="E103" s="494"/>
      <c r="F103" s="494"/>
      <c r="G103" s="494"/>
      <c r="H103" s="494"/>
      <c r="I103" s="525"/>
      <c r="K103" s="493"/>
      <c r="L103" s="494"/>
      <c r="M103" s="494"/>
      <c r="N103" s="494"/>
      <c r="O103" s="494"/>
      <c r="P103" s="494"/>
      <c r="Q103" s="494"/>
      <c r="R103" s="3"/>
      <c r="S103" s="493"/>
      <c r="T103" s="494"/>
      <c r="U103" s="494"/>
      <c r="V103" s="494"/>
      <c r="W103" s="494"/>
      <c r="X103" s="494"/>
      <c r="Y103" s="494"/>
      <c r="Z103" s="494"/>
      <c r="AA103" s="525"/>
    </row>
    <row r="104" spans="1:27" ht="13.5" customHeight="1" x14ac:dyDescent="0.3">
      <c r="A104" s="491" t="s">
        <v>143</v>
      </c>
      <c r="B104" s="492"/>
      <c r="C104" s="492"/>
      <c r="D104" s="492"/>
      <c r="E104" s="492"/>
      <c r="F104" s="492"/>
      <c r="G104" s="492"/>
      <c r="H104" s="492"/>
      <c r="I104" s="524"/>
      <c r="K104" s="491" t="s">
        <v>143</v>
      </c>
      <c r="L104" s="492"/>
      <c r="M104" s="492"/>
      <c r="N104" s="492"/>
      <c r="O104" s="492"/>
      <c r="P104" s="492"/>
      <c r="Q104" s="492"/>
      <c r="R104" s="3"/>
      <c r="S104" s="491" t="s">
        <v>143</v>
      </c>
      <c r="T104" s="492"/>
      <c r="U104" s="492"/>
      <c r="V104" s="492"/>
      <c r="W104" s="492"/>
      <c r="X104" s="492"/>
      <c r="Y104" s="492"/>
      <c r="Z104" s="492"/>
      <c r="AA104" s="524"/>
    </row>
    <row r="105" spans="1:27" ht="14.15" customHeight="1" x14ac:dyDescent="0.3">
      <c r="A105" s="328">
        <v>3</v>
      </c>
      <c r="B105" s="477" t="s">
        <v>144</v>
      </c>
      <c r="C105" s="477"/>
      <c r="D105" s="477"/>
      <c r="E105" s="477"/>
      <c r="F105" s="477"/>
      <c r="G105" s="477"/>
      <c r="H105" s="8" t="s">
        <v>76</v>
      </c>
      <c r="I105" s="329" t="s">
        <v>77</v>
      </c>
      <c r="K105" s="328">
        <v>3</v>
      </c>
      <c r="L105" s="477" t="s">
        <v>144</v>
      </c>
      <c r="M105" s="477"/>
      <c r="N105" s="477"/>
      <c r="O105" s="477"/>
      <c r="P105" s="477"/>
      <c r="Q105" s="477"/>
      <c r="R105" s="3"/>
      <c r="S105" s="328">
        <v>3</v>
      </c>
      <c r="T105" s="477" t="s">
        <v>144</v>
      </c>
      <c r="U105" s="477"/>
      <c r="V105" s="477"/>
      <c r="W105" s="477"/>
      <c r="X105" s="477"/>
      <c r="Y105" s="477"/>
      <c r="Z105" s="8" t="s">
        <v>76</v>
      </c>
      <c r="AA105" s="329" t="s">
        <v>77</v>
      </c>
    </row>
    <row r="106" spans="1:27" ht="13" x14ac:dyDescent="0.3">
      <c r="A106" s="328" t="s">
        <v>40</v>
      </c>
      <c r="B106" s="478" t="s">
        <v>145</v>
      </c>
      <c r="C106" s="478"/>
      <c r="D106" s="478"/>
      <c r="E106" s="478"/>
      <c r="F106" s="478"/>
      <c r="G106" s="478"/>
      <c r="H106" s="1">
        <v>4.1999999999999997E-3</v>
      </c>
      <c r="I106" s="93">
        <f>H106*I45</f>
        <v>7.3234979999999998</v>
      </c>
      <c r="K106" s="328" t="s">
        <v>40</v>
      </c>
      <c r="L106" s="478" t="s">
        <v>145</v>
      </c>
      <c r="M106" s="478"/>
      <c r="N106" s="478"/>
      <c r="O106" s="478"/>
      <c r="P106" s="478"/>
      <c r="Q106" s="478"/>
      <c r="R106" s="7"/>
      <c r="S106" s="328" t="s">
        <v>40</v>
      </c>
      <c r="T106" s="478" t="s">
        <v>145</v>
      </c>
      <c r="U106" s="478"/>
      <c r="V106" s="478"/>
      <c r="W106" s="478"/>
      <c r="X106" s="478"/>
      <c r="Y106" s="478"/>
      <c r="Z106" s="1">
        <v>4.1999999999999997E-3</v>
      </c>
      <c r="AA106" s="93">
        <f>Z106*AA45</f>
        <v>14.210699999999999</v>
      </c>
    </row>
    <row r="107" spans="1:27" ht="13" x14ac:dyDescent="0.25">
      <c r="A107" s="345" t="s">
        <v>42</v>
      </c>
      <c r="B107" s="481" t="s">
        <v>146</v>
      </c>
      <c r="C107" s="481"/>
      <c r="D107" s="481"/>
      <c r="E107" s="481"/>
      <c r="F107" s="481"/>
      <c r="G107" s="481"/>
      <c r="H107" s="160">
        <f>H74</f>
        <v>0.08</v>
      </c>
      <c r="I107" s="94">
        <f>I106*H107</f>
        <v>0.58587984000000004</v>
      </c>
      <c r="K107" s="345" t="s">
        <v>42</v>
      </c>
      <c r="L107" s="481" t="s">
        <v>146</v>
      </c>
      <c r="M107" s="481"/>
      <c r="N107" s="481"/>
      <c r="O107" s="481"/>
      <c r="P107" s="481"/>
      <c r="Q107" s="481"/>
      <c r="R107" s="313"/>
      <c r="S107" s="345" t="s">
        <v>42</v>
      </c>
      <c r="T107" s="481" t="s">
        <v>146</v>
      </c>
      <c r="U107" s="481"/>
      <c r="V107" s="481"/>
      <c r="W107" s="481"/>
      <c r="X107" s="481"/>
      <c r="Y107" s="481"/>
      <c r="Z107" s="160">
        <f>Z74</f>
        <v>0.08</v>
      </c>
      <c r="AA107" s="94">
        <f>AA106*Z107</f>
        <v>1.1368559999999999</v>
      </c>
    </row>
    <row r="108" spans="1:27" ht="24.75" customHeight="1" x14ac:dyDescent="0.25">
      <c r="A108" s="345" t="s">
        <v>45</v>
      </c>
      <c r="B108" s="481" t="s">
        <v>147</v>
      </c>
      <c r="C108" s="481"/>
      <c r="D108" s="481"/>
      <c r="E108" s="481"/>
      <c r="F108" s="481"/>
      <c r="G108" s="481"/>
      <c r="H108" s="160">
        <v>2E-3</v>
      </c>
      <c r="I108" s="94">
        <f>H108*I45</f>
        <v>3.4873800000000004</v>
      </c>
      <c r="K108" s="345" t="s">
        <v>45</v>
      </c>
      <c r="L108" s="481" t="s">
        <v>147</v>
      </c>
      <c r="M108" s="481"/>
      <c r="N108" s="481"/>
      <c r="O108" s="481"/>
      <c r="P108" s="481"/>
      <c r="Q108" s="481"/>
      <c r="R108" s="313"/>
      <c r="S108" s="345" t="s">
        <v>45</v>
      </c>
      <c r="T108" s="481" t="s">
        <v>147</v>
      </c>
      <c r="U108" s="481"/>
      <c r="V108" s="481"/>
      <c r="W108" s="481"/>
      <c r="X108" s="481"/>
      <c r="Y108" s="481"/>
      <c r="Z108" s="160">
        <v>2E-3</v>
      </c>
      <c r="AA108" s="94">
        <f>Z108*AA45</f>
        <v>6.7670000000000003</v>
      </c>
    </row>
    <row r="109" spans="1:27" ht="13" x14ac:dyDescent="0.3">
      <c r="A109" s="328" t="s">
        <v>48</v>
      </c>
      <c r="B109" s="478" t="s">
        <v>148</v>
      </c>
      <c r="C109" s="478"/>
      <c r="D109" s="478"/>
      <c r="E109" s="478"/>
      <c r="F109" s="478"/>
      <c r="G109" s="478"/>
      <c r="H109" s="1">
        <v>1.9400000000000001E-2</v>
      </c>
      <c r="I109" s="93">
        <f>H109*I45</f>
        <v>33.827586000000004</v>
      </c>
      <c r="K109" s="328" t="s">
        <v>48</v>
      </c>
      <c r="L109" s="478" t="s">
        <v>148</v>
      </c>
      <c r="M109" s="478"/>
      <c r="N109" s="478"/>
      <c r="O109" s="478"/>
      <c r="P109" s="478"/>
      <c r="Q109" s="478"/>
      <c r="R109" s="7"/>
      <c r="S109" s="328" t="s">
        <v>48</v>
      </c>
      <c r="T109" s="478" t="s">
        <v>148</v>
      </c>
      <c r="U109" s="478"/>
      <c r="V109" s="478"/>
      <c r="W109" s="478"/>
      <c r="X109" s="478"/>
      <c r="Y109" s="478"/>
      <c r="Z109" s="1">
        <v>1.9400000000000001E-2</v>
      </c>
      <c r="AA109" s="93">
        <f>Z109*AA45</f>
        <v>65.639899999999997</v>
      </c>
    </row>
    <row r="110" spans="1:27" ht="13" x14ac:dyDescent="0.3">
      <c r="A110" s="328" t="s">
        <v>84</v>
      </c>
      <c r="B110" s="511" t="s">
        <v>149</v>
      </c>
      <c r="C110" s="511"/>
      <c r="D110" s="511"/>
      <c r="E110" s="511"/>
      <c r="F110" s="511"/>
      <c r="G110" s="511"/>
      <c r="H110" s="24">
        <f>H75</f>
        <v>0.36800000000000005</v>
      </c>
      <c r="I110" s="93">
        <f>I109*H110</f>
        <v>12.448551648000002</v>
      </c>
      <c r="K110" s="328" t="s">
        <v>84</v>
      </c>
      <c r="L110" s="511" t="s">
        <v>149</v>
      </c>
      <c r="M110" s="511"/>
      <c r="N110" s="511"/>
      <c r="O110" s="511"/>
      <c r="P110" s="511"/>
      <c r="Q110" s="511"/>
      <c r="R110" s="7"/>
      <c r="S110" s="328" t="s">
        <v>84</v>
      </c>
      <c r="T110" s="511" t="s">
        <v>149</v>
      </c>
      <c r="U110" s="511"/>
      <c r="V110" s="511"/>
      <c r="W110" s="511"/>
      <c r="X110" s="511"/>
      <c r="Y110" s="511"/>
      <c r="Z110" s="24">
        <f>Z75</f>
        <v>0.36800000000000005</v>
      </c>
      <c r="AA110" s="93">
        <f>AA109*Z110</f>
        <v>24.155483200000003</v>
      </c>
    </row>
    <row r="111" spans="1:27" ht="25.5" customHeight="1" x14ac:dyDescent="0.25">
      <c r="A111" s="345" t="s">
        <v>86</v>
      </c>
      <c r="B111" s="481" t="s">
        <v>150</v>
      </c>
      <c r="C111" s="481"/>
      <c r="D111" s="481"/>
      <c r="E111" s="481"/>
      <c r="F111" s="481"/>
      <c r="G111" s="481"/>
      <c r="H111" s="160">
        <v>3.7999999999999999E-2</v>
      </c>
      <c r="I111" s="94">
        <f>H111*I45</f>
        <v>66.260220000000004</v>
      </c>
      <c r="K111" s="345" t="s">
        <v>86</v>
      </c>
      <c r="L111" s="481" t="s">
        <v>150</v>
      </c>
      <c r="M111" s="481"/>
      <c r="N111" s="481"/>
      <c r="O111" s="481"/>
      <c r="P111" s="481"/>
      <c r="Q111" s="481"/>
      <c r="R111" s="313"/>
      <c r="S111" s="345" t="s">
        <v>86</v>
      </c>
      <c r="T111" s="481" t="s">
        <v>150</v>
      </c>
      <c r="U111" s="481"/>
      <c r="V111" s="481"/>
      <c r="W111" s="481"/>
      <c r="X111" s="481"/>
      <c r="Y111" s="481"/>
      <c r="Z111" s="160">
        <v>3.7999999999999999E-2</v>
      </c>
      <c r="AA111" s="94">
        <f>Z111*AA45</f>
        <v>128.57300000000001</v>
      </c>
    </row>
    <row r="112" spans="1:27" ht="13" x14ac:dyDescent="0.3">
      <c r="A112" s="484" t="s">
        <v>151</v>
      </c>
      <c r="B112" s="485"/>
      <c r="C112" s="485"/>
      <c r="D112" s="485"/>
      <c r="E112" s="485"/>
      <c r="F112" s="485"/>
      <c r="G112" s="485"/>
      <c r="H112" s="42"/>
      <c r="I112" s="352">
        <f>SUM(I106:I111)</f>
        <v>123.93311548800001</v>
      </c>
      <c r="K112" s="484" t="s">
        <v>151</v>
      </c>
      <c r="L112" s="485"/>
      <c r="M112" s="485"/>
      <c r="N112" s="485"/>
      <c r="O112" s="485"/>
      <c r="P112" s="485"/>
      <c r="Q112" s="485"/>
      <c r="R112" s="315"/>
      <c r="S112" s="484" t="s">
        <v>151</v>
      </c>
      <c r="T112" s="485"/>
      <c r="U112" s="485"/>
      <c r="V112" s="485"/>
      <c r="W112" s="485"/>
      <c r="X112" s="485"/>
      <c r="Y112" s="485"/>
      <c r="Z112" s="42"/>
      <c r="AA112" s="352">
        <f>SUM(AA106:AA111)</f>
        <v>240.48293920000003</v>
      </c>
    </row>
    <row r="113" spans="1:28" ht="13" x14ac:dyDescent="0.3">
      <c r="A113" s="512"/>
      <c r="B113" s="513"/>
      <c r="C113" s="513"/>
      <c r="D113" s="513"/>
      <c r="E113" s="513"/>
      <c r="F113" s="513"/>
      <c r="G113" s="513"/>
      <c r="H113" s="513"/>
      <c r="I113" s="526"/>
      <c r="K113" s="512"/>
      <c r="L113" s="513"/>
      <c r="M113" s="513"/>
      <c r="N113" s="513"/>
      <c r="O113" s="513"/>
      <c r="P113" s="513"/>
      <c r="Q113" s="513"/>
      <c r="R113" s="3"/>
      <c r="S113" s="512"/>
      <c r="T113" s="513"/>
      <c r="U113" s="513"/>
      <c r="V113" s="513"/>
      <c r="W113" s="513"/>
      <c r="X113" s="513"/>
      <c r="Y113" s="513"/>
      <c r="Z113" s="513"/>
      <c r="AA113" s="526"/>
    </row>
    <row r="114" spans="1:28" ht="13" x14ac:dyDescent="0.3">
      <c r="A114" s="491" t="s">
        <v>152</v>
      </c>
      <c r="B114" s="492"/>
      <c r="C114" s="492"/>
      <c r="D114" s="492"/>
      <c r="E114" s="492"/>
      <c r="F114" s="492"/>
      <c r="G114" s="492"/>
      <c r="H114" s="492"/>
      <c r="I114" s="524"/>
      <c r="K114" s="491" t="s">
        <v>152</v>
      </c>
      <c r="L114" s="492"/>
      <c r="M114" s="492"/>
      <c r="N114" s="492"/>
      <c r="O114" s="492"/>
      <c r="P114" s="492"/>
      <c r="Q114" s="492"/>
      <c r="R114" s="3"/>
      <c r="S114" s="491" t="s">
        <v>152</v>
      </c>
      <c r="T114" s="492"/>
      <c r="U114" s="492"/>
      <c r="V114" s="492"/>
      <c r="W114" s="492"/>
      <c r="X114" s="492"/>
      <c r="Y114" s="492"/>
      <c r="Z114" s="492"/>
      <c r="AA114" s="524"/>
    </row>
    <row r="115" spans="1:28" ht="13" x14ac:dyDescent="0.3">
      <c r="A115" s="344"/>
      <c r="B115" s="3"/>
      <c r="C115" s="3"/>
      <c r="D115" s="3"/>
      <c r="E115" s="3"/>
      <c r="F115" s="3"/>
      <c r="G115" s="3"/>
      <c r="H115" s="3"/>
      <c r="I115" s="353"/>
      <c r="K115" s="344"/>
      <c r="L115" s="3"/>
      <c r="M115" s="3"/>
      <c r="N115" s="3"/>
      <c r="O115" s="3"/>
      <c r="P115" s="3"/>
      <c r="Q115" s="3"/>
      <c r="R115" s="3"/>
      <c r="S115" s="344"/>
      <c r="T115" s="3"/>
      <c r="U115" s="3"/>
      <c r="V115" s="3"/>
      <c r="W115" s="3"/>
      <c r="X115" s="3"/>
      <c r="Y115" s="3"/>
      <c r="Z115" s="3"/>
      <c r="AA115" s="353"/>
    </row>
    <row r="116" spans="1:28" ht="13" x14ac:dyDescent="0.3">
      <c r="A116" s="332" t="s">
        <v>153</v>
      </c>
      <c r="B116" s="3"/>
      <c r="C116" s="3"/>
      <c r="D116" s="3"/>
      <c r="E116" s="3"/>
      <c r="F116" s="3"/>
      <c r="G116" s="3"/>
      <c r="H116" s="3"/>
      <c r="I116" s="353"/>
      <c r="K116" s="332" t="s">
        <v>153</v>
      </c>
      <c r="L116" s="3"/>
      <c r="M116" s="3"/>
      <c r="N116" s="3"/>
      <c r="O116" s="3"/>
      <c r="P116" s="3"/>
      <c r="Q116" s="3"/>
      <c r="R116" s="3"/>
      <c r="S116" s="332" t="s">
        <v>153</v>
      </c>
      <c r="T116" s="3"/>
      <c r="U116" s="3"/>
      <c r="V116" s="3"/>
      <c r="W116" s="3"/>
      <c r="X116" s="3"/>
      <c r="Y116" s="3"/>
      <c r="Z116" s="3"/>
      <c r="AA116" s="353"/>
    </row>
    <row r="117" spans="1:28" ht="13" x14ac:dyDescent="0.3">
      <c r="A117" s="332" t="s">
        <v>154</v>
      </c>
      <c r="B117" s="3"/>
      <c r="C117" s="3"/>
      <c r="D117" s="3"/>
      <c r="E117" s="3"/>
      <c r="F117" s="3"/>
      <c r="G117" s="3"/>
      <c r="H117" s="3"/>
      <c r="I117" s="353"/>
      <c r="K117" s="332" t="s">
        <v>154</v>
      </c>
      <c r="L117" s="3"/>
      <c r="M117" s="3"/>
      <c r="N117" s="3"/>
      <c r="O117" s="3"/>
      <c r="P117" s="3"/>
      <c r="Q117" s="3"/>
      <c r="R117" s="3"/>
      <c r="S117" s="332" t="s">
        <v>154</v>
      </c>
      <c r="T117" s="3"/>
      <c r="U117" s="3"/>
      <c r="V117" s="3"/>
      <c r="W117" s="3"/>
      <c r="X117" s="3"/>
      <c r="Y117" s="3"/>
      <c r="Z117" s="3"/>
      <c r="AA117" s="353"/>
    </row>
    <row r="118" spans="1:28" ht="13" x14ac:dyDescent="0.3">
      <c r="A118" s="344"/>
      <c r="B118" s="3"/>
      <c r="C118" s="3"/>
      <c r="D118" s="3"/>
      <c r="E118" s="3"/>
      <c r="F118" s="3"/>
      <c r="G118" s="3"/>
      <c r="H118" s="3"/>
      <c r="I118" s="353"/>
      <c r="K118" s="344"/>
      <c r="L118" s="3"/>
      <c r="M118" s="3"/>
      <c r="N118" s="3"/>
      <c r="O118" s="3"/>
      <c r="P118" s="3"/>
      <c r="Q118" s="3"/>
      <c r="R118" s="3"/>
      <c r="S118" s="344"/>
      <c r="T118" s="3"/>
      <c r="U118" s="3"/>
      <c r="V118" s="3"/>
      <c r="W118" s="3"/>
      <c r="X118" s="3"/>
      <c r="Y118" s="3"/>
      <c r="Z118" s="3"/>
      <c r="AA118" s="353"/>
    </row>
    <row r="119" spans="1:28" ht="13" x14ac:dyDescent="0.3">
      <c r="A119" s="348" t="s">
        <v>155</v>
      </c>
      <c r="B119" s="480" t="s">
        <v>156</v>
      </c>
      <c r="C119" s="480"/>
      <c r="D119" s="480"/>
      <c r="E119" s="480"/>
      <c r="F119" s="480"/>
      <c r="G119" s="480"/>
      <c r="H119" s="34" t="s">
        <v>76</v>
      </c>
      <c r="I119" s="323" t="s">
        <v>77</v>
      </c>
      <c r="K119" s="348" t="s">
        <v>155</v>
      </c>
      <c r="L119" s="480" t="s">
        <v>156</v>
      </c>
      <c r="M119" s="480"/>
      <c r="N119" s="480"/>
      <c r="O119" s="480"/>
      <c r="P119" s="480"/>
      <c r="Q119" s="480"/>
      <c r="R119" s="3"/>
      <c r="S119" s="348" t="s">
        <v>155</v>
      </c>
      <c r="T119" s="480" t="s">
        <v>156</v>
      </c>
      <c r="U119" s="480"/>
      <c r="V119" s="480"/>
      <c r="W119" s="480"/>
      <c r="X119" s="480"/>
      <c r="Y119" s="480"/>
      <c r="Z119" s="34" t="s">
        <v>76</v>
      </c>
      <c r="AA119" s="323" t="s">
        <v>77</v>
      </c>
    </row>
    <row r="120" spans="1:28" ht="14.15" customHeight="1" x14ac:dyDescent="0.3">
      <c r="A120" s="348" t="s">
        <v>40</v>
      </c>
      <c r="B120" s="478" t="s">
        <v>157</v>
      </c>
      <c r="C120" s="478"/>
      <c r="D120" s="478"/>
      <c r="E120" s="478"/>
      <c r="F120" s="478"/>
      <c r="G120" s="478"/>
      <c r="H120" s="43"/>
      <c r="I120" s="346"/>
      <c r="K120" s="348" t="s">
        <v>40</v>
      </c>
      <c r="L120" s="478" t="s">
        <v>157</v>
      </c>
      <c r="M120" s="478"/>
      <c r="N120" s="478"/>
      <c r="O120" s="478"/>
      <c r="P120" s="478"/>
      <c r="Q120" s="478"/>
      <c r="R120" s="4"/>
      <c r="S120" s="348" t="s">
        <v>40</v>
      </c>
      <c r="T120" s="478" t="s">
        <v>157</v>
      </c>
      <c r="U120" s="478"/>
      <c r="V120" s="478"/>
      <c r="W120" s="478"/>
      <c r="X120" s="478"/>
      <c r="Y120" s="478"/>
      <c r="Z120" s="43"/>
      <c r="AA120" s="346"/>
    </row>
    <row r="121" spans="1:28" ht="13" x14ac:dyDescent="0.3">
      <c r="A121" s="328" t="s">
        <v>42</v>
      </c>
      <c r="B121" s="478" t="s">
        <v>158</v>
      </c>
      <c r="C121" s="478"/>
      <c r="D121" s="478"/>
      <c r="E121" s="478"/>
      <c r="F121" s="478"/>
      <c r="G121" s="478"/>
      <c r="H121" s="172">
        <v>1.67E-2</v>
      </c>
      <c r="I121" s="93">
        <f>H121*$I$45</f>
        <v>29.119623000000001</v>
      </c>
      <c r="J121" s="32" t="s">
        <v>159</v>
      </c>
      <c r="K121" s="328" t="s">
        <v>42</v>
      </c>
      <c r="L121" s="478" t="s">
        <v>158</v>
      </c>
      <c r="M121" s="478"/>
      <c r="N121" s="478"/>
      <c r="O121" s="478"/>
      <c r="P121" s="478"/>
      <c r="Q121" s="478"/>
      <c r="R121" s="7"/>
      <c r="S121" s="328" t="s">
        <v>42</v>
      </c>
      <c r="T121" s="478" t="s">
        <v>158</v>
      </c>
      <c r="U121" s="478"/>
      <c r="V121" s="478"/>
      <c r="W121" s="478"/>
      <c r="X121" s="478"/>
      <c r="Y121" s="478"/>
      <c r="Z121" s="172">
        <v>1.67E-2</v>
      </c>
      <c r="AA121" s="93">
        <f>Z121*$AA$45</f>
        <v>56.504449999999999</v>
      </c>
      <c r="AB121" s="32" t="s">
        <v>159</v>
      </c>
    </row>
    <row r="122" spans="1:28" ht="13" x14ac:dyDescent="0.3">
      <c r="A122" s="328" t="s">
        <v>45</v>
      </c>
      <c r="B122" s="478" t="s">
        <v>160</v>
      </c>
      <c r="C122" s="478"/>
      <c r="D122" s="478"/>
      <c r="E122" s="478"/>
      <c r="F122" s="478"/>
      <c r="G122" s="478"/>
      <c r="H122" s="172">
        <v>2.0000000000000001E-4</v>
      </c>
      <c r="I122" s="93">
        <f>H122*$I$45</f>
        <v>0.34873800000000005</v>
      </c>
      <c r="J122" s="32" t="s">
        <v>159</v>
      </c>
      <c r="K122" s="328" t="s">
        <v>45</v>
      </c>
      <c r="L122" s="478" t="s">
        <v>160</v>
      </c>
      <c r="M122" s="478"/>
      <c r="N122" s="478"/>
      <c r="O122" s="478"/>
      <c r="P122" s="478"/>
      <c r="Q122" s="478"/>
      <c r="R122" s="7"/>
      <c r="S122" s="328" t="s">
        <v>45</v>
      </c>
      <c r="T122" s="478" t="s">
        <v>160</v>
      </c>
      <c r="U122" s="478"/>
      <c r="V122" s="478"/>
      <c r="W122" s="478"/>
      <c r="X122" s="478"/>
      <c r="Y122" s="478"/>
      <c r="Z122" s="172">
        <v>2.0000000000000001E-4</v>
      </c>
      <c r="AA122" s="93">
        <f t="shared" ref="AA122:AA125" si="2">Z122*$AA$45</f>
        <v>0.67670000000000008</v>
      </c>
      <c r="AB122" s="32" t="s">
        <v>159</v>
      </c>
    </row>
    <row r="123" spans="1:28" ht="13.5" x14ac:dyDescent="0.25">
      <c r="A123" s="345" t="s">
        <v>48</v>
      </c>
      <c r="B123" s="481" t="s">
        <v>161</v>
      </c>
      <c r="C123" s="481"/>
      <c r="D123" s="481"/>
      <c r="E123" s="481"/>
      <c r="F123" s="481"/>
      <c r="G123" s="481"/>
      <c r="H123" s="160">
        <v>6.9999999999999999E-4</v>
      </c>
      <c r="I123" s="94">
        <f>H123*$I$45</f>
        <v>1.220583</v>
      </c>
      <c r="J123" s="32" t="s">
        <v>159</v>
      </c>
      <c r="K123" s="345" t="s">
        <v>48</v>
      </c>
      <c r="L123" s="481" t="s">
        <v>161</v>
      </c>
      <c r="M123" s="481"/>
      <c r="N123" s="481"/>
      <c r="O123" s="481"/>
      <c r="P123" s="481"/>
      <c r="Q123" s="481"/>
      <c r="R123" s="313"/>
      <c r="S123" s="345" t="s">
        <v>48</v>
      </c>
      <c r="T123" s="481" t="s">
        <v>161</v>
      </c>
      <c r="U123" s="481"/>
      <c r="V123" s="481"/>
      <c r="W123" s="481"/>
      <c r="X123" s="481"/>
      <c r="Y123" s="481"/>
      <c r="Z123" s="160">
        <v>6.9999999999999999E-4</v>
      </c>
      <c r="AA123" s="93">
        <f t="shared" si="2"/>
        <v>2.3684500000000002</v>
      </c>
      <c r="AB123" s="32" t="s">
        <v>159</v>
      </c>
    </row>
    <row r="124" spans="1:28" ht="13" x14ac:dyDescent="0.3">
      <c r="A124" s="328" t="s">
        <v>84</v>
      </c>
      <c r="B124" s="478" t="s">
        <v>162</v>
      </c>
      <c r="C124" s="478"/>
      <c r="D124" s="478"/>
      <c r="E124" s="478"/>
      <c r="F124" s="478"/>
      <c r="G124" s="478"/>
      <c r="H124" s="172">
        <v>2.8999999999999998E-3</v>
      </c>
      <c r="I124" s="93">
        <f>H124*$I$45</f>
        <v>5.0567009999999994</v>
      </c>
      <c r="J124" s="32" t="s">
        <v>159</v>
      </c>
      <c r="K124" s="328" t="s">
        <v>84</v>
      </c>
      <c r="L124" s="478" t="s">
        <v>162</v>
      </c>
      <c r="M124" s="478"/>
      <c r="N124" s="478"/>
      <c r="O124" s="478"/>
      <c r="P124" s="478"/>
      <c r="Q124" s="478"/>
      <c r="R124" s="7"/>
      <c r="S124" s="328" t="s">
        <v>84</v>
      </c>
      <c r="T124" s="478" t="s">
        <v>162</v>
      </c>
      <c r="U124" s="478"/>
      <c r="V124" s="478"/>
      <c r="W124" s="478"/>
      <c r="X124" s="478"/>
      <c r="Y124" s="478"/>
      <c r="Z124" s="172">
        <v>2.8999999999999998E-3</v>
      </c>
      <c r="AA124" s="93">
        <f t="shared" si="2"/>
        <v>9.812149999999999</v>
      </c>
      <c r="AB124" s="32" t="s">
        <v>159</v>
      </c>
    </row>
    <row r="125" spans="1:28" ht="13" x14ac:dyDescent="0.3">
      <c r="A125" s="328" t="s">
        <v>86</v>
      </c>
      <c r="B125" s="478" t="s">
        <v>163</v>
      </c>
      <c r="C125" s="478"/>
      <c r="D125" s="478"/>
      <c r="E125" s="478"/>
      <c r="F125" s="478"/>
      <c r="G125" s="478"/>
      <c r="H125" s="172"/>
      <c r="I125" s="93">
        <f t="shared" ref="I125" si="3">H125*$I$45</f>
        <v>0</v>
      </c>
      <c r="J125" s="32" t="s">
        <v>159</v>
      </c>
      <c r="K125" s="328" t="s">
        <v>86</v>
      </c>
      <c r="L125" s="478" t="s">
        <v>163</v>
      </c>
      <c r="M125" s="478"/>
      <c r="N125" s="478"/>
      <c r="O125" s="478"/>
      <c r="P125" s="478"/>
      <c r="Q125" s="478"/>
      <c r="R125" s="7"/>
      <c r="S125" s="328" t="s">
        <v>86</v>
      </c>
      <c r="T125" s="478" t="s">
        <v>163</v>
      </c>
      <c r="U125" s="478"/>
      <c r="V125" s="478"/>
      <c r="W125" s="478"/>
      <c r="X125" s="478"/>
      <c r="Y125" s="478"/>
      <c r="Z125" s="172"/>
      <c r="AA125" s="93">
        <f t="shared" si="2"/>
        <v>0</v>
      </c>
      <c r="AB125" s="32" t="s">
        <v>159</v>
      </c>
    </row>
    <row r="126" spans="1:28" ht="13" x14ac:dyDescent="0.3">
      <c r="A126" s="479" t="s">
        <v>164</v>
      </c>
      <c r="B126" s="480"/>
      <c r="C126" s="480"/>
      <c r="D126" s="480"/>
      <c r="E126" s="480"/>
      <c r="F126" s="480"/>
      <c r="G126" s="480"/>
      <c r="H126" s="42"/>
      <c r="I126" s="346">
        <f>SUM(I121:I125)</f>
        <v>35.745645000000003</v>
      </c>
      <c r="J126" s="32"/>
      <c r="K126" s="479" t="s">
        <v>164</v>
      </c>
      <c r="L126" s="480"/>
      <c r="M126" s="480"/>
      <c r="N126" s="480"/>
      <c r="O126" s="480"/>
      <c r="P126" s="480"/>
      <c r="Q126" s="480"/>
      <c r="R126" s="4"/>
      <c r="S126" s="479" t="s">
        <v>164</v>
      </c>
      <c r="T126" s="480"/>
      <c r="U126" s="480"/>
      <c r="V126" s="480"/>
      <c r="W126" s="480"/>
      <c r="X126" s="480"/>
      <c r="Y126" s="480"/>
      <c r="Z126" s="42"/>
      <c r="AA126" s="346">
        <f>SUM(AA121:AA125)</f>
        <v>69.361750000000001</v>
      </c>
      <c r="AB126" s="32"/>
    </row>
    <row r="127" spans="1:28" ht="13" x14ac:dyDescent="0.3">
      <c r="A127" s="328" t="s">
        <v>86</v>
      </c>
      <c r="B127" s="478" t="s">
        <v>165</v>
      </c>
      <c r="C127" s="478"/>
      <c r="D127" s="478"/>
      <c r="E127" s="478"/>
      <c r="F127" s="478"/>
      <c r="G127" s="478"/>
      <c r="H127" s="1">
        <f>H75</f>
        <v>0.36800000000000005</v>
      </c>
      <c r="I127" s="93">
        <f>I126*H127</f>
        <v>13.154397360000003</v>
      </c>
      <c r="K127" s="328" t="s">
        <v>86</v>
      </c>
      <c r="L127" s="478" t="s">
        <v>165</v>
      </c>
      <c r="M127" s="478"/>
      <c r="N127" s="478"/>
      <c r="O127" s="478"/>
      <c r="P127" s="478"/>
      <c r="Q127" s="478"/>
      <c r="R127" s="7"/>
      <c r="S127" s="328" t="s">
        <v>86</v>
      </c>
      <c r="T127" s="478" t="s">
        <v>165</v>
      </c>
      <c r="U127" s="478"/>
      <c r="V127" s="478"/>
      <c r="W127" s="478"/>
      <c r="X127" s="478"/>
      <c r="Y127" s="478"/>
      <c r="Z127" s="1">
        <f>Z75</f>
        <v>0.36800000000000005</v>
      </c>
      <c r="AA127" s="93">
        <f>AA126*Z127</f>
        <v>25.525124000000005</v>
      </c>
    </row>
    <row r="128" spans="1:28" ht="13" x14ac:dyDescent="0.3">
      <c r="A128" s="479" t="s">
        <v>166</v>
      </c>
      <c r="B128" s="480"/>
      <c r="C128" s="480"/>
      <c r="D128" s="480"/>
      <c r="E128" s="480"/>
      <c r="F128" s="480"/>
      <c r="G128" s="480"/>
      <c r="H128" s="42"/>
      <c r="I128" s="346">
        <f>SUM(I126:I127)</f>
        <v>48.900042360000008</v>
      </c>
      <c r="K128" s="479" t="s">
        <v>166</v>
      </c>
      <c r="L128" s="480"/>
      <c r="M128" s="480"/>
      <c r="N128" s="480"/>
      <c r="O128" s="480"/>
      <c r="P128" s="480"/>
      <c r="Q128" s="480"/>
      <c r="R128" s="4"/>
      <c r="S128" s="479" t="s">
        <v>166</v>
      </c>
      <c r="T128" s="480"/>
      <c r="U128" s="480"/>
      <c r="V128" s="480"/>
      <c r="W128" s="480"/>
      <c r="X128" s="480"/>
      <c r="Y128" s="480"/>
      <c r="Z128" s="42"/>
      <c r="AA128" s="346">
        <f>SUM(AA126:AA127)</f>
        <v>94.886874000000006</v>
      </c>
    </row>
    <row r="129" spans="1:28" ht="13" x14ac:dyDescent="0.3">
      <c r="A129" s="344"/>
      <c r="B129" s="3"/>
      <c r="C129" s="3"/>
      <c r="D129" s="3"/>
      <c r="E129" s="3"/>
      <c r="F129" s="3"/>
      <c r="G129" s="3"/>
      <c r="H129" s="3"/>
      <c r="I129" s="353"/>
      <c r="K129" s="344"/>
      <c r="L129" s="3"/>
      <c r="M129" s="3"/>
      <c r="N129" s="3"/>
      <c r="O129" s="3"/>
      <c r="P129" s="3"/>
      <c r="Q129" s="3"/>
      <c r="R129" s="3"/>
      <c r="S129" s="344"/>
      <c r="T129" s="3"/>
      <c r="U129" s="3"/>
      <c r="V129" s="3"/>
      <c r="W129" s="3"/>
      <c r="X129" s="3"/>
      <c r="Y129" s="3"/>
      <c r="Z129" s="3"/>
      <c r="AA129" s="353"/>
    </row>
    <row r="130" spans="1:28" ht="13" x14ac:dyDescent="0.3">
      <c r="A130" s="348" t="s">
        <v>167</v>
      </c>
      <c r="B130" s="495" t="s">
        <v>168</v>
      </c>
      <c r="C130" s="496"/>
      <c r="D130" s="496"/>
      <c r="E130" s="496"/>
      <c r="F130" s="496"/>
      <c r="G130" s="497"/>
      <c r="H130" s="34" t="s">
        <v>76</v>
      </c>
      <c r="I130" s="323" t="s">
        <v>77</v>
      </c>
      <c r="K130" s="348" t="s">
        <v>167</v>
      </c>
      <c r="L130" s="495" t="s">
        <v>168</v>
      </c>
      <c r="M130" s="496"/>
      <c r="N130" s="496"/>
      <c r="O130" s="496"/>
      <c r="P130" s="496"/>
      <c r="Q130" s="497"/>
      <c r="R130" s="3"/>
      <c r="S130" s="348" t="s">
        <v>167</v>
      </c>
      <c r="T130" s="495" t="s">
        <v>168</v>
      </c>
      <c r="U130" s="496"/>
      <c r="V130" s="496"/>
      <c r="W130" s="496"/>
      <c r="X130" s="496"/>
      <c r="Y130" s="497"/>
      <c r="Z130" s="34" t="s">
        <v>76</v>
      </c>
      <c r="AA130" s="323" t="s">
        <v>77</v>
      </c>
    </row>
    <row r="131" spans="1:28" ht="13" x14ac:dyDescent="0.3">
      <c r="A131" s="328" t="s">
        <v>40</v>
      </c>
      <c r="B131" s="498" t="s">
        <v>169</v>
      </c>
      <c r="C131" s="499"/>
      <c r="D131" s="499"/>
      <c r="E131" s="499"/>
      <c r="F131" s="499"/>
      <c r="G131" s="500"/>
      <c r="H131" s="172">
        <v>0</v>
      </c>
      <c r="I131" s="93">
        <v>0</v>
      </c>
      <c r="K131" s="328" t="s">
        <v>40</v>
      </c>
      <c r="L131" s="498" t="s">
        <v>169</v>
      </c>
      <c r="M131" s="499"/>
      <c r="N131" s="499"/>
      <c r="O131" s="499"/>
      <c r="P131" s="499"/>
      <c r="Q131" s="500"/>
      <c r="R131" s="7"/>
      <c r="S131" s="328" t="s">
        <v>40</v>
      </c>
      <c r="T131" s="498" t="s">
        <v>169</v>
      </c>
      <c r="U131" s="499"/>
      <c r="V131" s="499"/>
      <c r="W131" s="499"/>
      <c r="X131" s="499"/>
      <c r="Y131" s="500"/>
      <c r="Z131" s="172">
        <v>0</v>
      </c>
      <c r="AA131" s="93">
        <v>0</v>
      </c>
    </row>
    <row r="132" spans="1:28" ht="13" x14ac:dyDescent="0.3">
      <c r="A132" s="501" t="s">
        <v>170</v>
      </c>
      <c r="B132" s="496"/>
      <c r="C132" s="496"/>
      <c r="D132" s="496"/>
      <c r="E132" s="496"/>
      <c r="F132" s="496"/>
      <c r="G132" s="497"/>
      <c r="H132" s="42">
        <f>TRUNC(SUM(H131),4)</f>
        <v>0</v>
      </c>
      <c r="I132" s="346">
        <f>SUM(I131)</f>
        <v>0</v>
      </c>
      <c r="K132" s="501" t="s">
        <v>170</v>
      </c>
      <c r="L132" s="496"/>
      <c r="M132" s="496"/>
      <c r="N132" s="496"/>
      <c r="O132" s="496"/>
      <c r="P132" s="496"/>
      <c r="Q132" s="497"/>
      <c r="R132" s="4"/>
      <c r="S132" s="501" t="s">
        <v>170</v>
      </c>
      <c r="T132" s="496"/>
      <c r="U132" s="496"/>
      <c r="V132" s="496"/>
      <c r="W132" s="496"/>
      <c r="X132" s="496"/>
      <c r="Y132" s="497"/>
      <c r="Z132" s="42">
        <f>TRUNC(SUM(Z131),4)</f>
        <v>0</v>
      </c>
      <c r="AA132" s="346">
        <f>SUM(AA131)</f>
        <v>0</v>
      </c>
    </row>
    <row r="133" spans="1:28" ht="13" x14ac:dyDescent="0.3">
      <c r="A133" s="51"/>
      <c r="B133" s="45"/>
      <c r="C133" s="45"/>
      <c r="D133" s="45"/>
      <c r="E133" s="45"/>
      <c r="F133" s="45"/>
      <c r="G133" s="45"/>
      <c r="H133" s="45"/>
      <c r="I133" s="347"/>
      <c r="K133" s="51"/>
      <c r="L133" s="45"/>
      <c r="M133" s="45"/>
      <c r="N133" s="45"/>
      <c r="O133" s="45"/>
      <c r="P133" s="45"/>
      <c r="Q133" s="45"/>
      <c r="R133" s="10"/>
      <c r="S133" s="51"/>
      <c r="T133" s="45"/>
      <c r="U133" s="45"/>
      <c r="V133" s="45"/>
      <c r="W133" s="45"/>
      <c r="X133" s="45"/>
      <c r="Y133" s="45"/>
      <c r="Z133" s="45"/>
      <c r="AA133" s="347"/>
    </row>
    <row r="134" spans="1:28" ht="13" x14ac:dyDescent="0.3">
      <c r="A134" s="479" t="s">
        <v>171</v>
      </c>
      <c r="B134" s="480"/>
      <c r="C134" s="480"/>
      <c r="D134" s="480"/>
      <c r="E134" s="480"/>
      <c r="F134" s="480"/>
      <c r="G134" s="480"/>
      <c r="H134" s="480"/>
      <c r="I134" s="523"/>
      <c r="K134" s="479" t="s">
        <v>171</v>
      </c>
      <c r="L134" s="480"/>
      <c r="M134" s="480"/>
      <c r="N134" s="480"/>
      <c r="O134" s="480"/>
      <c r="P134" s="480"/>
      <c r="Q134" s="480"/>
      <c r="R134" s="3"/>
      <c r="S134" s="479" t="s">
        <v>171</v>
      </c>
      <c r="T134" s="480"/>
      <c r="U134" s="480"/>
      <c r="V134" s="480"/>
      <c r="W134" s="480"/>
      <c r="X134" s="480"/>
      <c r="Y134" s="480"/>
      <c r="Z134" s="480"/>
      <c r="AA134" s="523"/>
    </row>
    <row r="135" spans="1:28" ht="13" x14ac:dyDescent="0.3">
      <c r="A135" s="345">
        <v>4</v>
      </c>
      <c r="B135" s="502" t="s">
        <v>172</v>
      </c>
      <c r="C135" s="503"/>
      <c r="D135" s="503"/>
      <c r="E135" s="503"/>
      <c r="F135" s="503"/>
      <c r="G135" s="504"/>
      <c r="H135" s="46"/>
      <c r="I135" s="329" t="s">
        <v>77</v>
      </c>
      <c r="K135" s="345">
        <v>4</v>
      </c>
      <c r="L135" s="502" t="s">
        <v>172</v>
      </c>
      <c r="M135" s="503"/>
      <c r="N135" s="503"/>
      <c r="O135" s="503"/>
      <c r="P135" s="503"/>
      <c r="Q135" s="504"/>
      <c r="R135" s="3"/>
      <c r="S135" s="345">
        <v>4</v>
      </c>
      <c r="T135" s="502" t="s">
        <v>172</v>
      </c>
      <c r="U135" s="503"/>
      <c r="V135" s="503"/>
      <c r="W135" s="503"/>
      <c r="X135" s="503"/>
      <c r="Y135" s="504"/>
      <c r="Z135" s="46"/>
      <c r="AA135" s="329" t="s">
        <v>77</v>
      </c>
    </row>
    <row r="136" spans="1:28" ht="13" x14ac:dyDescent="0.3">
      <c r="A136" s="328" t="s">
        <v>155</v>
      </c>
      <c r="B136" s="505" t="s">
        <v>173</v>
      </c>
      <c r="C136" s="506"/>
      <c r="D136" s="506"/>
      <c r="E136" s="506"/>
      <c r="F136" s="506"/>
      <c r="G136" s="507"/>
      <c r="H136" s="22"/>
      <c r="I136" s="93">
        <f>I128</f>
        <v>48.900042360000008</v>
      </c>
      <c r="K136" s="328" t="s">
        <v>155</v>
      </c>
      <c r="L136" s="505" t="s">
        <v>173</v>
      </c>
      <c r="M136" s="506"/>
      <c r="N136" s="506"/>
      <c r="O136" s="506"/>
      <c r="P136" s="506"/>
      <c r="Q136" s="507"/>
      <c r="R136" s="7"/>
      <c r="S136" s="328" t="s">
        <v>155</v>
      </c>
      <c r="T136" s="505" t="s">
        <v>173</v>
      </c>
      <c r="U136" s="506"/>
      <c r="V136" s="506"/>
      <c r="W136" s="506"/>
      <c r="X136" s="506"/>
      <c r="Y136" s="507"/>
      <c r="Z136" s="22"/>
      <c r="AA136" s="93">
        <f>AA128</f>
        <v>94.886874000000006</v>
      </c>
    </row>
    <row r="137" spans="1:28" ht="13" x14ac:dyDescent="0.3">
      <c r="A137" s="328" t="s">
        <v>167</v>
      </c>
      <c r="B137" s="505" t="s">
        <v>174</v>
      </c>
      <c r="C137" s="506"/>
      <c r="D137" s="506"/>
      <c r="E137" s="506"/>
      <c r="F137" s="506"/>
      <c r="G137" s="507"/>
      <c r="H137" s="22"/>
      <c r="I137" s="93">
        <f>I132</f>
        <v>0</v>
      </c>
      <c r="K137" s="328" t="s">
        <v>167</v>
      </c>
      <c r="L137" s="505" t="s">
        <v>174</v>
      </c>
      <c r="M137" s="506"/>
      <c r="N137" s="506"/>
      <c r="O137" s="506"/>
      <c r="P137" s="506"/>
      <c r="Q137" s="507"/>
      <c r="R137" s="7"/>
      <c r="S137" s="328" t="s">
        <v>167</v>
      </c>
      <c r="T137" s="505" t="s">
        <v>174</v>
      </c>
      <c r="U137" s="506"/>
      <c r="V137" s="506"/>
      <c r="W137" s="506"/>
      <c r="X137" s="506"/>
      <c r="Y137" s="507"/>
      <c r="Z137" s="22"/>
      <c r="AA137" s="93">
        <f>AA132</f>
        <v>0</v>
      </c>
    </row>
    <row r="138" spans="1:28" ht="13" x14ac:dyDescent="0.3">
      <c r="A138" s="484" t="s">
        <v>175</v>
      </c>
      <c r="B138" s="485"/>
      <c r="C138" s="485"/>
      <c r="D138" s="485"/>
      <c r="E138" s="485"/>
      <c r="F138" s="485"/>
      <c r="G138" s="485"/>
      <c r="H138" s="485"/>
      <c r="I138" s="352">
        <f>SUM(I136:I137)</f>
        <v>48.900042360000008</v>
      </c>
      <c r="K138" s="484" t="s">
        <v>175</v>
      </c>
      <c r="L138" s="485"/>
      <c r="M138" s="485"/>
      <c r="N138" s="485"/>
      <c r="O138" s="485"/>
      <c r="P138" s="485"/>
      <c r="Q138" s="485"/>
      <c r="R138" s="315"/>
      <c r="S138" s="484" t="s">
        <v>175</v>
      </c>
      <c r="T138" s="485"/>
      <c r="U138" s="485"/>
      <c r="V138" s="485"/>
      <c r="W138" s="485"/>
      <c r="X138" s="485"/>
      <c r="Y138" s="485"/>
      <c r="Z138" s="485"/>
      <c r="AA138" s="352">
        <f>SUM(AA136:AA137)</f>
        <v>94.886874000000006</v>
      </c>
    </row>
    <row r="139" spans="1:28" ht="13" x14ac:dyDescent="0.3">
      <c r="A139" s="493"/>
      <c r="B139" s="494"/>
      <c r="C139" s="494"/>
      <c r="D139" s="494"/>
      <c r="E139" s="494"/>
      <c r="F139" s="494"/>
      <c r="G139" s="494"/>
      <c r="H139" s="494"/>
      <c r="I139" s="525"/>
      <c r="K139" s="493"/>
      <c r="L139" s="494"/>
      <c r="M139" s="494"/>
      <c r="N139" s="494"/>
      <c r="O139" s="494"/>
      <c r="P139" s="494"/>
      <c r="Q139" s="494"/>
      <c r="R139" s="3"/>
      <c r="S139" s="493"/>
      <c r="T139" s="494"/>
      <c r="U139" s="494"/>
      <c r="V139" s="494"/>
      <c r="W139" s="494"/>
      <c r="X139" s="494"/>
      <c r="Y139" s="494"/>
      <c r="Z139" s="494"/>
      <c r="AA139" s="525"/>
    </row>
    <row r="140" spans="1:28" ht="13" x14ac:dyDescent="0.3">
      <c r="A140" s="491" t="s">
        <v>176</v>
      </c>
      <c r="B140" s="492"/>
      <c r="C140" s="492"/>
      <c r="D140" s="492"/>
      <c r="E140" s="492"/>
      <c r="F140" s="492"/>
      <c r="G140" s="492"/>
      <c r="H140" s="492"/>
      <c r="I140" s="524"/>
      <c r="K140" s="491" t="s">
        <v>176</v>
      </c>
      <c r="L140" s="492"/>
      <c r="M140" s="492"/>
      <c r="N140" s="492"/>
      <c r="O140" s="492"/>
      <c r="P140" s="492"/>
      <c r="Q140" s="492"/>
      <c r="R140" s="3"/>
      <c r="S140" s="491" t="s">
        <v>176</v>
      </c>
      <c r="T140" s="492"/>
      <c r="U140" s="492"/>
      <c r="V140" s="492"/>
      <c r="W140" s="492"/>
      <c r="X140" s="492"/>
      <c r="Y140" s="492"/>
      <c r="Z140" s="492"/>
      <c r="AA140" s="524"/>
    </row>
    <row r="141" spans="1:28" ht="13" x14ac:dyDescent="0.3">
      <c r="A141" s="328">
        <v>5</v>
      </c>
      <c r="B141" s="477" t="s">
        <v>177</v>
      </c>
      <c r="C141" s="477"/>
      <c r="D141" s="477"/>
      <c r="E141" s="477"/>
      <c r="F141" s="477"/>
      <c r="G141" s="477"/>
      <c r="H141" s="8"/>
      <c r="I141" s="329" t="s">
        <v>77</v>
      </c>
      <c r="K141" s="328">
        <v>5</v>
      </c>
      <c r="L141" s="477" t="s">
        <v>177</v>
      </c>
      <c r="M141" s="477"/>
      <c r="N141" s="477"/>
      <c r="O141" s="477"/>
      <c r="P141" s="477"/>
      <c r="Q141" s="477"/>
      <c r="R141" s="3"/>
      <c r="S141" s="328">
        <v>5</v>
      </c>
      <c r="T141" s="477" t="s">
        <v>177</v>
      </c>
      <c r="U141" s="477"/>
      <c r="V141" s="477"/>
      <c r="W141" s="477"/>
      <c r="X141" s="477"/>
      <c r="Y141" s="477"/>
      <c r="Z141" s="8"/>
      <c r="AA141" s="329" t="s">
        <v>77</v>
      </c>
    </row>
    <row r="142" spans="1:28" ht="13" x14ac:dyDescent="0.3">
      <c r="A142" s="328" t="s">
        <v>40</v>
      </c>
      <c r="B142" s="486" t="s">
        <v>178</v>
      </c>
      <c r="C142" s="486"/>
      <c r="D142" s="486"/>
      <c r="E142" s="486"/>
      <c r="F142" s="486"/>
      <c r="G142" s="486"/>
      <c r="H142" s="23" t="s">
        <v>125</v>
      </c>
      <c r="I142" s="93">
        <f>'Uniform&amp;EPIs '!K25</f>
        <v>163.85291666666669</v>
      </c>
      <c r="K142" s="328" t="s">
        <v>40</v>
      </c>
      <c r="L142" s="486" t="s">
        <v>178</v>
      </c>
      <c r="M142" s="486"/>
      <c r="N142" s="486"/>
      <c r="O142" s="486"/>
      <c r="P142" s="486"/>
      <c r="Q142" s="486"/>
      <c r="R142" s="7"/>
      <c r="S142" s="328" t="s">
        <v>40</v>
      </c>
      <c r="T142" s="486" t="s">
        <v>178</v>
      </c>
      <c r="U142" s="486"/>
      <c r="V142" s="486"/>
      <c r="W142" s="486"/>
      <c r="X142" s="486"/>
      <c r="Y142" s="486"/>
      <c r="Z142" s="23" t="s">
        <v>125</v>
      </c>
      <c r="AA142" s="93" cm="1">
        <f t="array" ref="AA142:AB142">'Uniform&amp;EPIs '!K25:L25</f>
        <v>163.85291666666669</v>
      </c>
      <c r="AB142">
        <v>0</v>
      </c>
    </row>
    <row r="143" spans="1:28" ht="13" x14ac:dyDescent="0.3">
      <c r="A143" s="328" t="s">
        <v>42</v>
      </c>
      <c r="B143" s="486" t="s">
        <v>179</v>
      </c>
      <c r="C143" s="486"/>
      <c r="D143" s="486"/>
      <c r="E143" s="486"/>
      <c r="F143" s="486"/>
      <c r="G143" s="486"/>
      <c r="H143" s="23" t="s">
        <v>125</v>
      </c>
      <c r="I143" s="93">
        <f>Materiais!K62</f>
        <v>1957.510608585859</v>
      </c>
      <c r="K143" s="328" t="s">
        <v>42</v>
      </c>
      <c r="L143" s="486" t="s">
        <v>179</v>
      </c>
      <c r="M143" s="486"/>
      <c r="N143" s="486"/>
      <c r="O143" s="486"/>
      <c r="P143" s="486"/>
      <c r="Q143" s="486"/>
      <c r="R143" s="7"/>
      <c r="S143" s="328" t="s">
        <v>42</v>
      </c>
      <c r="T143" s="486" t="s">
        <v>179</v>
      </c>
      <c r="U143" s="486"/>
      <c r="V143" s="486"/>
      <c r="W143" s="486"/>
      <c r="X143" s="486"/>
      <c r="Y143" s="486"/>
      <c r="Z143" s="23" t="s">
        <v>125</v>
      </c>
      <c r="AA143" s="93">
        <f>Materiais!K62</f>
        <v>1957.510608585859</v>
      </c>
    </row>
    <row r="144" spans="1:28" ht="13" x14ac:dyDescent="0.3">
      <c r="A144" s="354" t="s">
        <v>45</v>
      </c>
      <c r="B144" s="486" t="s">
        <v>180</v>
      </c>
      <c r="C144" s="486"/>
      <c r="D144" s="486"/>
      <c r="E144" s="486"/>
      <c r="F144" s="486"/>
      <c r="G144" s="486"/>
      <c r="H144" s="23" t="s">
        <v>125</v>
      </c>
      <c r="I144" s="93">
        <f>Equipamentos!K42</f>
        <v>53.859407828282841</v>
      </c>
      <c r="K144" s="354" t="s">
        <v>45</v>
      </c>
      <c r="L144" s="486" t="s">
        <v>180</v>
      </c>
      <c r="M144" s="486"/>
      <c r="N144" s="486"/>
      <c r="O144" s="486"/>
      <c r="P144" s="486"/>
      <c r="Q144" s="486"/>
      <c r="R144" s="7"/>
      <c r="S144" s="354" t="s">
        <v>45</v>
      </c>
      <c r="T144" s="486" t="s">
        <v>180</v>
      </c>
      <c r="U144" s="486"/>
      <c r="V144" s="486"/>
      <c r="W144" s="486"/>
      <c r="X144" s="486"/>
      <c r="Y144" s="486"/>
      <c r="Z144" s="23" t="s">
        <v>125</v>
      </c>
      <c r="AA144" s="93">
        <f>Equipamentos!K42</f>
        <v>53.859407828282841</v>
      </c>
    </row>
    <row r="145" spans="1:28" ht="13" x14ac:dyDescent="0.3">
      <c r="A145" s="354" t="s">
        <v>48</v>
      </c>
      <c r="B145" s="486" t="s">
        <v>87</v>
      </c>
      <c r="C145" s="486"/>
      <c r="D145" s="486"/>
      <c r="E145" s="486"/>
      <c r="F145" s="486"/>
      <c r="G145" s="486"/>
      <c r="H145" s="23" t="s">
        <v>125</v>
      </c>
      <c r="I145" s="93">
        <v>0</v>
      </c>
      <c r="K145" s="354" t="s">
        <v>48</v>
      </c>
      <c r="L145" s="486" t="s">
        <v>87</v>
      </c>
      <c r="M145" s="486"/>
      <c r="N145" s="486"/>
      <c r="O145" s="486"/>
      <c r="P145" s="486"/>
      <c r="Q145" s="486"/>
      <c r="R145" s="7"/>
      <c r="S145" s="354" t="s">
        <v>48</v>
      </c>
      <c r="T145" s="486" t="s">
        <v>87</v>
      </c>
      <c r="U145" s="486"/>
      <c r="V145" s="486"/>
      <c r="W145" s="486"/>
      <c r="X145" s="486"/>
      <c r="Y145" s="486"/>
      <c r="Z145" s="23" t="s">
        <v>125</v>
      </c>
      <c r="AA145" s="93">
        <f t="shared" ref="AA145" si="4">I145</f>
        <v>0</v>
      </c>
    </row>
    <row r="146" spans="1:28" ht="13" x14ac:dyDescent="0.3">
      <c r="A146" s="484" t="s">
        <v>181</v>
      </c>
      <c r="B146" s="485"/>
      <c r="C146" s="485"/>
      <c r="D146" s="485"/>
      <c r="E146" s="485"/>
      <c r="F146" s="485"/>
      <c r="G146" s="485"/>
      <c r="H146" s="42" t="s">
        <v>125</v>
      </c>
      <c r="I146" s="352">
        <f>SUM(I142:I145)</f>
        <v>2175.2229330808082</v>
      </c>
      <c r="K146" s="484" t="s">
        <v>181</v>
      </c>
      <c r="L146" s="485"/>
      <c r="M146" s="485"/>
      <c r="N146" s="485"/>
      <c r="O146" s="485"/>
      <c r="P146" s="485"/>
      <c r="Q146" s="485"/>
      <c r="R146" s="315"/>
      <c r="S146" s="484" t="s">
        <v>181</v>
      </c>
      <c r="T146" s="485"/>
      <c r="U146" s="485"/>
      <c r="V146" s="485"/>
      <c r="W146" s="485"/>
      <c r="X146" s="485"/>
      <c r="Y146" s="485"/>
      <c r="Z146" s="42" t="s">
        <v>125</v>
      </c>
      <c r="AA146" s="352">
        <f>SUM(AA142:AA145)</f>
        <v>2175.2229330808082</v>
      </c>
    </row>
    <row r="147" spans="1:28" ht="13" x14ac:dyDescent="0.25">
      <c r="A147" s="355"/>
      <c r="B147" s="53"/>
      <c r="C147" s="53"/>
      <c r="D147" s="53"/>
      <c r="E147" s="53"/>
      <c r="F147" s="53"/>
      <c r="G147" s="53"/>
      <c r="H147" s="53"/>
      <c r="I147" s="356"/>
      <c r="K147" s="355"/>
      <c r="L147" s="53"/>
      <c r="M147" s="53"/>
      <c r="N147" s="53"/>
      <c r="O147" s="53"/>
      <c r="P147" s="53"/>
      <c r="Q147" s="53"/>
      <c r="R147" s="53"/>
      <c r="S147" s="355"/>
      <c r="T147" s="53"/>
      <c r="U147" s="53"/>
      <c r="V147" s="53"/>
      <c r="W147" s="53"/>
      <c r="X147" s="53"/>
      <c r="Y147" s="53"/>
      <c r="Z147" s="53"/>
      <c r="AA147" s="356"/>
    </row>
    <row r="148" spans="1:28" ht="13" x14ac:dyDescent="0.3">
      <c r="A148" s="332" t="s">
        <v>182</v>
      </c>
      <c r="B148" s="3"/>
      <c r="C148" s="3"/>
      <c r="D148" s="3"/>
      <c r="E148" s="3"/>
      <c r="F148" s="3"/>
      <c r="G148" s="3"/>
      <c r="H148" s="3"/>
      <c r="I148" s="353"/>
      <c r="K148" s="332" t="s">
        <v>182</v>
      </c>
      <c r="L148" s="3"/>
      <c r="M148" s="3"/>
      <c r="N148" s="3"/>
      <c r="O148" s="3"/>
      <c r="P148" s="3"/>
      <c r="Q148" s="3"/>
      <c r="R148" s="3"/>
      <c r="S148" s="332" t="s">
        <v>182</v>
      </c>
      <c r="T148" s="3"/>
      <c r="U148" s="3"/>
      <c r="V148" s="3"/>
      <c r="W148" s="3"/>
      <c r="X148" s="3"/>
      <c r="Y148" s="3"/>
      <c r="Z148" s="3"/>
      <c r="AA148" s="353"/>
    </row>
    <row r="149" spans="1:28" ht="13" x14ac:dyDescent="0.3">
      <c r="A149" s="357"/>
      <c r="B149" s="3"/>
      <c r="C149" s="3"/>
      <c r="D149" s="3"/>
      <c r="E149" s="3"/>
      <c r="F149" s="3"/>
      <c r="G149" s="3"/>
      <c r="H149" s="3"/>
      <c r="I149" s="353"/>
      <c r="K149" s="357"/>
      <c r="L149" s="3"/>
      <c r="M149" s="3"/>
      <c r="N149" s="3"/>
      <c r="O149" s="3"/>
      <c r="P149" s="3"/>
      <c r="Q149" s="3"/>
      <c r="R149" s="3"/>
      <c r="S149" s="357"/>
      <c r="T149" s="3"/>
      <c r="U149" s="3"/>
      <c r="V149" s="3"/>
      <c r="W149" s="3"/>
      <c r="X149" s="3"/>
      <c r="Y149" s="3"/>
      <c r="Z149" s="3"/>
      <c r="AA149" s="353"/>
    </row>
    <row r="150" spans="1:28" ht="13" x14ac:dyDescent="0.3">
      <c r="A150" s="491" t="s">
        <v>183</v>
      </c>
      <c r="B150" s="492"/>
      <c r="C150" s="492"/>
      <c r="D150" s="492"/>
      <c r="E150" s="492"/>
      <c r="F150" s="492"/>
      <c r="G150" s="492"/>
      <c r="H150" s="492"/>
      <c r="I150" s="524"/>
      <c r="K150" s="491" t="s">
        <v>183</v>
      </c>
      <c r="L150" s="492"/>
      <c r="M150" s="492"/>
      <c r="N150" s="492"/>
      <c r="O150" s="492"/>
      <c r="P150" s="492"/>
      <c r="Q150" s="492"/>
      <c r="R150" s="3"/>
      <c r="S150" s="491" t="s">
        <v>183</v>
      </c>
      <c r="T150" s="492"/>
      <c r="U150" s="492"/>
      <c r="V150" s="492"/>
      <c r="W150" s="492"/>
      <c r="X150" s="492"/>
      <c r="Y150" s="492"/>
      <c r="Z150" s="492"/>
      <c r="AA150" s="524"/>
    </row>
    <row r="151" spans="1:28" ht="13" x14ac:dyDescent="0.3">
      <c r="A151" s="328">
        <v>6</v>
      </c>
      <c r="B151" s="477" t="s">
        <v>184</v>
      </c>
      <c r="C151" s="477"/>
      <c r="D151" s="477"/>
      <c r="E151" s="477"/>
      <c r="F151" s="477"/>
      <c r="G151" s="477"/>
      <c r="H151" s="8" t="s">
        <v>76</v>
      </c>
      <c r="I151" s="329" t="s">
        <v>77</v>
      </c>
      <c r="K151" s="328">
        <v>6</v>
      </c>
      <c r="L151" s="477" t="s">
        <v>184</v>
      </c>
      <c r="M151" s="477"/>
      <c r="N151" s="477"/>
      <c r="O151" s="477"/>
      <c r="P151" s="477"/>
      <c r="Q151" s="477"/>
      <c r="R151" s="3"/>
      <c r="S151" s="328">
        <v>6</v>
      </c>
      <c r="T151" s="477" t="s">
        <v>184</v>
      </c>
      <c r="U151" s="477"/>
      <c r="V151" s="477"/>
      <c r="W151" s="477"/>
      <c r="X151" s="477"/>
      <c r="Y151" s="477"/>
      <c r="Z151" s="8" t="s">
        <v>76</v>
      </c>
      <c r="AA151" s="329" t="s">
        <v>77</v>
      </c>
    </row>
    <row r="152" spans="1:28" ht="13" x14ac:dyDescent="0.3">
      <c r="A152" s="328" t="s">
        <v>40</v>
      </c>
      <c r="B152" s="478" t="s">
        <v>185</v>
      </c>
      <c r="C152" s="478"/>
      <c r="D152" s="478"/>
      <c r="E152" s="478"/>
      <c r="F152" s="478"/>
      <c r="G152" s="478"/>
      <c r="H152" s="29">
        <v>0.05</v>
      </c>
      <c r="I152" s="358">
        <f>H152*I170</f>
        <v>317.5020699992404</v>
      </c>
      <c r="J152" s="32" t="s">
        <v>186</v>
      </c>
      <c r="K152" s="328" t="s">
        <v>40</v>
      </c>
      <c r="L152" s="478" t="s">
        <v>185</v>
      </c>
      <c r="M152" s="478"/>
      <c r="N152" s="478"/>
      <c r="O152" s="478"/>
      <c r="P152" s="478"/>
      <c r="Q152" s="478"/>
      <c r="R152" s="309"/>
      <c r="S152" s="328" t="s">
        <v>40</v>
      </c>
      <c r="T152" s="478" t="s">
        <v>185</v>
      </c>
      <c r="U152" s="478"/>
      <c r="V152" s="478"/>
      <c r="W152" s="478"/>
      <c r="X152" s="478"/>
      <c r="Y152" s="478"/>
      <c r="Z152" s="29">
        <v>0.05</v>
      </c>
      <c r="AA152" s="358">
        <f>Z152*AA170</f>
        <v>455.7901115007071</v>
      </c>
      <c r="AB152" s="32" t="s">
        <v>186</v>
      </c>
    </row>
    <row r="153" spans="1:28" ht="13" x14ac:dyDescent="0.3">
      <c r="A153" s="328" t="s">
        <v>42</v>
      </c>
      <c r="B153" s="478" t="s">
        <v>187</v>
      </c>
      <c r="C153" s="478"/>
      <c r="D153" s="478"/>
      <c r="E153" s="478"/>
      <c r="F153" s="478"/>
      <c r="G153" s="478"/>
      <c r="H153" s="29">
        <v>0.1</v>
      </c>
      <c r="I153" s="358">
        <f>H153*(I152+I170)</f>
        <v>666.7543469984048</v>
      </c>
      <c r="J153" s="32" t="s">
        <v>186</v>
      </c>
      <c r="K153" s="328" t="s">
        <v>42</v>
      </c>
      <c r="L153" s="478" t="s">
        <v>187</v>
      </c>
      <c r="M153" s="478"/>
      <c r="N153" s="478"/>
      <c r="O153" s="478"/>
      <c r="P153" s="478"/>
      <c r="Q153" s="478"/>
      <c r="R153" s="309"/>
      <c r="S153" s="328" t="s">
        <v>42</v>
      </c>
      <c r="T153" s="478" t="s">
        <v>187</v>
      </c>
      <c r="U153" s="478"/>
      <c r="V153" s="478"/>
      <c r="W153" s="478"/>
      <c r="X153" s="478"/>
      <c r="Y153" s="478"/>
      <c r="Z153" s="29">
        <v>0.1</v>
      </c>
      <c r="AA153" s="358">
        <f>Z153*(AA152+AA170)</f>
        <v>957.15923415148507</v>
      </c>
      <c r="AB153" s="32" t="s">
        <v>186</v>
      </c>
    </row>
    <row r="154" spans="1:28" ht="13" x14ac:dyDescent="0.3">
      <c r="A154" s="328" t="s">
        <v>45</v>
      </c>
      <c r="B154" s="483" t="s">
        <v>188</v>
      </c>
      <c r="C154" s="483"/>
      <c r="D154" s="483"/>
      <c r="E154" s="483"/>
      <c r="F154" s="483"/>
      <c r="G154" s="483"/>
      <c r="H154" s="2"/>
      <c r="I154" s="359"/>
      <c r="K154" s="328" t="s">
        <v>45</v>
      </c>
      <c r="L154" s="483" t="s">
        <v>188</v>
      </c>
      <c r="M154" s="483"/>
      <c r="N154" s="483"/>
      <c r="O154" s="483"/>
      <c r="P154" s="483"/>
      <c r="Q154" s="483"/>
      <c r="R154" s="316"/>
      <c r="S154" s="328" t="s">
        <v>45</v>
      </c>
      <c r="T154" s="483" t="s">
        <v>188</v>
      </c>
      <c r="U154" s="483"/>
      <c r="V154" s="483"/>
      <c r="W154" s="483"/>
      <c r="X154" s="483"/>
      <c r="Y154" s="483"/>
      <c r="Z154" s="2"/>
      <c r="AA154" s="359"/>
    </row>
    <row r="155" spans="1:28" ht="13" x14ac:dyDescent="0.3">
      <c r="A155" s="328" t="s">
        <v>189</v>
      </c>
      <c r="B155" s="478" t="s">
        <v>190</v>
      </c>
      <c r="C155" s="478"/>
      <c r="D155" s="478"/>
      <c r="E155" s="478"/>
      <c r="F155" s="478"/>
      <c r="G155" s="478"/>
      <c r="H155" s="6">
        <v>1.6500000000000001E-2</v>
      </c>
      <c r="I155" s="358">
        <f>H155*$I$172</f>
        <v>141.12643029762157</v>
      </c>
      <c r="J155" s="32" t="s">
        <v>191</v>
      </c>
      <c r="K155" s="328" t="s">
        <v>189</v>
      </c>
      <c r="L155" s="478" t="s">
        <v>190</v>
      </c>
      <c r="M155" s="478"/>
      <c r="N155" s="478"/>
      <c r="O155" s="478"/>
      <c r="P155" s="478"/>
      <c r="Q155" s="478"/>
      <c r="R155" s="309"/>
      <c r="S155" s="328" t="s">
        <v>189</v>
      </c>
      <c r="T155" s="478" t="s">
        <v>190</v>
      </c>
      <c r="U155" s="478"/>
      <c r="V155" s="478"/>
      <c r="W155" s="478"/>
      <c r="X155" s="478"/>
      <c r="Y155" s="478"/>
      <c r="Z155" s="6">
        <v>1.6500000000000001E-2</v>
      </c>
      <c r="AA155" s="358">
        <f>Z155*$AA$172</f>
        <v>202.59405364255923</v>
      </c>
      <c r="AB155" s="32" t="s">
        <v>191</v>
      </c>
    </row>
    <row r="156" spans="1:28" ht="13" x14ac:dyDescent="0.3">
      <c r="A156" s="328" t="s">
        <v>192</v>
      </c>
      <c r="B156" s="478" t="s">
        <v>193</v>
      </c>
      <c r="C156" s="478"/>
      <c r="D156" s="478"/>
      <c r="E156" s="478"/>
      <c r="F156" s="478"/>
      <c r="G156" s="478"/>
      <c r="H156" s="6">
        <v>7.5999999999999998E-2</v>
      </c>
      <c r="I156" s="358">
        <f t="shared" ref="I156:I157" si="5">H156*$I$172</f>
        <v>650.03689106783258</v>
      </c>
      <c r="J156" s="32" t="s">
        <v>191</v>
      </c>
      <c r="K156" s="328" t="s">
        <v>192</v>
      </c>
      <c r="L156" s="478" t="s">
        <v>193</v>
      </c>
      <c r="M156" s="478"/>
      <c r="N156" s="478"/>
      <c r="O156" s="478"/>
      <c r="P156" s="478"/>
      <c r="Q156" s="478"/>
      <c r="R156" s="309"/>
      <c r="S156" s="328" t="s">
        <v>192</v>
      </c>
      <c r="T156" s="478" t="s">
        <v>193</v>
      </c>
      <c r="U156" s="478"/>
      <c r="V156" s="478"/>
      <c r="W156" s="478"/>
      <c r="X156" s="478"/>
      <c r="Y156" s="478"/>
      <c r="Z156" s="6">
        <v>7.5999999999999998E-2</v>
      </c>
      <c r="AA156" s="358">
        <f>Z156*$AA$172</f>
        <v>933.16048950512129</v>
      </c>
      <c r="AB156" s="32" t="s">
        <v>191</v>
      </c>
    </row>
    <row r="157" spans="1:28" ht="13" x14ac:dyDescent="0.3">
      <c r="A157" s="328" t="s">
        <v>194</v>
      </c>
      <c r="B157" s="478" t="s">
        <v>195</v>
      </c>
      <c r="C157" s="478"/>
      <c r="D157" s="478"/>
      <c r="E157" s="478"/>
      <c r="F157" s="478"/>
      <c r="G157" s="478"/>
      <c r="H157" s="6">
        <v>0.05</v>
      </c>
      <c r="I157" s="358">
        <f t="shared" si="5"/>
        <v>427.65584938673203</v>
      </c>
      <c r="J157" s="32" t="s">
        <v>191</v>
      </c>
      <c r="K157" s="328" t="s">
        <v>194</v>
      </c>
      <c r="L157" s="478" t="s">
        <v>195</v>
      </c>
      <c r="M157" s="478"/>
      <c r="N157" s="478"/>
      <c r="O157" s="478"/>
      <c r="P157" s="478"/>
      <c r="Q157" s="478"/>
      <c r="R157" s="309"/>
      <c r="S157" s="328" t="s">
        <v>194</v>
      </c>
      <c r="T157" s="478" t="s">
        <v>195</v>
      </c>
      <c r="U157" s="478"/>
      <c r="V157" s="478"/>
      <c r="W157" s="478"/>
      <c r="X157" s="478"/>
      <c r="Y157" s="478"/>
      <c r="Z157" s="6">
        <v>0.05</v>
      </c>
      <c r="AA157" s="358">
        <f>Z157*$AA$172</f>
        <v>613.92137467442194</v>
      </c>
      <c r="AB157" s="32" t="s">
        <v>191</v>
      </c>
    </row>
    <row r="158" spans="1:28" ht="13" x14ac:dyDescent="0.3">
      <c r="A158" s="484" t="s">
        <v>196</v>
      </c>
      <c r="B158" s="485"/>
      <c r="C158" s="485"/>
      <c r="D158" s="485"/>
      <c r="E158" s="485"/>
      <c r="F158" s="485"/>
      <c r="G158" s="485"/>
      <c r="H158" s="54">
        <f>SUM(H152:H157)</f>
        <v>0.29250000000000004</v>
      </c>
      <c r="I158" s="352">
        <f>SUM(I152:I157)</f>
        <v>2203.0755877498314</v>
      </c>
      <c r="K158" s="484" t="s">
        <v>196</v>
      </c>
      <c r="L158" s="485"/>
      <c r="M158" s="485"/>
      <c r="N158" s="485"/>
      <c r="O158" s="485"/>
      <c r="P158" s="485"/>
      <c r="Q158" s="485"/>
      <c r="R158" s="315"/>
      <c r="S158" s="484" t="s">
        <v>196</v>
      </c>
      <c r="T158" s="485"/>
      <c r="U158" s="485"/>
      <c r="V158" s="485"/>
      <c r="W158" s="485"/>
      <c r="X158" s="485"/>
      <c r="Y158" s="485"/>
      <c r="Z158" s="54">
        <f>SUM(Z152:Z157)</f>
        <v>0.29250000000000004</v>
      </c>
      <c r="AA158" s="352">
        <f>SUM(AA152:AA157)</f>
        <v>3162.625263474295</v>
      </c>
    </row>
    <row r="159" spans="1:28" x14ac:dyDescent="0.25">
      <c r="A159" s="319"/>
      <c r="B159" s="260"/>
      <c r="C159" s="260"/>
      <c r="D159" s="260"/>
      <c r="E159" s="260"/>
      <c r="F159" s="260"/>
      <c r="G159" s="260"/>
      <c r="H159" s="260"/>
      <c r="I159" s="360"/>
      <c r="K159" s="319"/>
      <c r="L159" s="260"/>
      <c r="M159" s="260"/>
      <c r="N159" s="260"/>
      <c r="O159" s="260"/>
      <c r="P159" s="260"/>
      <c r="Q159" s="260"/>
      <c r="R159" s="260"/>
      <c r="S159" s="319"/>
      <c r="T159" s="260"/>
      <c r="U159" s="260"/>
      <c r="V159" s="260"/>
      <c r="W159" s="260"/>
      <c r="X159" s="260"/>
      <c r="Y159" s="260"/>
      <c r="Z159" s="260"/>
      <c r="AA159" s="360"/>
    </row>
    <row r="160" spans="1:28" ht="13" x14ac:dyDescent="0.25">
      <c r="A160" s="332" t="s">
        <v>197</v>
      </c>
      <c r="B160" s="260"/>
      <c r="C160" s="260"/>
      <c r="D160" s="260"/>
      <c r="E160" s="260"/>
      <c r="F160" s="260"/>
      <c r="G160" s="260"/>
      <c r="H160" s="260"/>
      <c r="I160" s="360"/>
      <c r="K160" s="332" t="s">
        <v>197</v>
      </c>
      <c r="L160" s="260"/>
      <c r="M160" s="260"/>
      <c r="N160" s="260"/>
      <c r="O160" s="260"/>
      <c r="P160" s="260"/>
      <c r="Q160" s="260"/>
      <c r="R160" s="260"/>
      <c r="S160" s="332" t="s">
        <v>197</v>
      </c>
      <c r="T160" s="260"/>
      <c r="U160" s="260"/>
      <c r="V160" s="260"/>
      <c r="W160" s="260"/>
      <c r="X160" s="260"/>
      <c r="Y160" s="260"/>
      <c r="Z160" s="260"/>
      <c r="AA160" s="360"/>
    </row>
    <row r="161" spans="1:27" ht="13" x14ac:dyDescent="0.25">
      <c r="A161" s="332" t="s">
        <v>198</v>
      </c>
      <c r="B161" s="260"/>
      <c r="C161" s="260"/>
      <c r="D161" s="260"/>
      <c r="E161" s="260"/>
      <c r="F161" s="260"/>
      <c r="G161" s="260"/>
      <c r="H161" s="260"/>
      <c r="I161" s="360"/>
      <c r="K161" s="332" t="s">
        <v>198</v>
      </c>
      <c r="L161" s="260"/>
      <c r="M161" s="260"/>
      <c r="N161" s="260"/>
      <c r="O161" s="260"/>
      <c r="P161" s="260"/>
      <c r="Q161" s="260"/>
      <c r="R161" s="260"/>
      <c r="S161" s="332" t="s">
        <v>198</v>
      </c>
      <c r="T161" s="260"/>
      <c r="U161" s="260"/>
      <c r="V161" s="260"/>
      <c r="W161" s="260"/>
      <c r="X161" s="260"/>
      <c r="Y161" s="260"/>
      <c r="Z161" s="260"/>
      <c r="AA161" s="360"/>
    </row>
    <row r="162" spans="1:27" ht="13" x14ac:dyDescent="0.3">
      <c r="A162" s="319"/>
      <c r="B162" s="251"/>
      <c r="C162" s="251"/>
      <c r="D162" s="251"/>
      <c r="E162" s="251"/>
      <c r="F162" s="251"/>
      <c r="G162" s="251"/>
      <c r="H162" s="251"/>
      <c r="I162" s="72"/>
      <c r="K162" s="319"/>
      <c r="L162" s="251"/>
      <c r="M162" s="251"/>
      <c r="N162" s="251"/>
      <c r="O162" s="251"/>
      <c r="P162" s="251"/>
      <c r="Q162" s="251"/>
      <c r="R162" s="4"/>
      <c r="S162" s="319"/>
      <c r="T162" s="251"/>
      <c r="U162" s="251"/>
      <c r="V162" s="251"/>
      <c r="W162" s="251"/>
      <c r="X162" s="251"/>
      <c r="Y162" s="251"/>
      <c r="Z162" s="251"/>
      <c r="AA162" s="72"/>
    </row>
    <row r="163" spans="1:27" ht="13" x14ac:dyDescent="0.3">
      <c r="A163" s="479" t="s">
        <v>199</v>
      </c>
      <c r="B163" s="480"/>
      <c r="C163" s="480"/>
      <c r="D163" s="480"/>
      <c r="E163" s="480"/>
      <c r="F163" s="480"/>
      <c r="G163" s="480"/>
      <c r="H163" s="480"/>
      <c r="I163" s="523"/>
      <c r="K163" s="479" t="s">
        <v>199</v>
      </c>
      <c r="L163" s="480"/>
      <c r="M163" s="480"/>
      <c r="N163" s="480"/>
      <c r="O163" s="480"/>
      <c r="P163" s="480"/>
      <c r="Q163" s="480"/>
      <c r="R163" s="3"/>
      <c r="S163" s="479" t="s">
        <v>199</v>
      </c>
      <c r="T163" s="480"/>
      <c r="U163" s="480"/>
      <c r="V163" s="480"/>
      <c r="W163" s="480"/>
      <c r="X163" s="480"/>
      <c r="Y163" s="480"/>
      <c r="Z163" s="480"/>
      <c r="AA163" s="523"/>
    </row>
    <row r="164" spans="1:27" ht="13" x14ac:dyDescent="0.3">
      <c r="A164" s="482" t="s">
        <v>200</v>
      </c>
      <c r="B164" s="477"/>
      <c r="C164" s="477"/>
      <c r="D164" s="477"/>
      <c r="E164" s="477"/>
      <c r="F164" s="477"/>
      <c r="G164" s="477"/>
      <c r="H164" s="477"/>
      <c r="I164" s="329" t="s">
        <v>77</v>
      </c>
      <c r="K164" s="482" t="s">
        <v>200</v>
      </c>
      <c r="L164" s="477"/>
      <c r="M164" s="477"/>
      <c r="N164" s="477"/>
      <c r="O164" s="477"/>
      <c r="P164" s="477"/>
      <c r="Q164" s="477"/>
      <c r="R164" s="3"/>
      <c r="S164" s="482" t="s">
        <v>200</v>
      </c>
      <c r="T164" s="477"/>
      <c r="U164" s="477"/>
      <c r="V164" s="477"/>
      <c r="W164" s="477"/>
      <c r="X164" s="477"/>
      <c r="Y164" s="477"/>
      <c r="Z164" s="477"/>
      <c r="AA164" s="329" t="s">
        <v>77</v>
      </c>
    </row>
    <row r="165" spans="1:27" x14ac:dyDescent="0.25">
      <c r="A165" s="324" t="s">
        <v>40</v>
      </c>
      <c r="B165" s="472" t="str">
        <f>A37</f>
        <v>MÓDULO 1 - COMPOSIÇÃO DA REMUNERAÇÃO</v>
      </c>
      <c r="C165" s="472"/>
      <c r="D165" s="472"/>
      <c r="E165" s="472"/>
      <c r="F165" s="472"/>
      <c r="G165" s="472"/>
      <c r="H165" s="472"/>
      <c r="I165" s="358">
        <f>I45</f>
        <v>1743.69</v>
      </c>
      <c r="K165" s="324" t="s">
        <v>40</v>
      </c>
      <c r="L165" s="472" t="str">
        <f>K37</f>
        <v>MÓDULO 1 - COMPOSIÇÃO DA REMUNERAÇÃO</v>
      </c>
      <c r="M165" s="472"/>
      <c r="N165" s="472"/>
      <c r="O165" s="472"/>
      <c r="P165" s="472"/>
      <c r="Q165" s="472"/>
      <c r="R165" s="309"/>
      <c r="S165" s="324" t="s">
        <v>40</v>
      </c>
      <c r="T165" s="472" t="str">
        <f>S37</f>
        <v>MÓDULO 1 - COMPOSIÇÃO DA REMUNERAÇÃO</v>
      </c>
      <c r="U165" s="472"/>
      <c r="V165" s="472"/>
      <c r="W165" s="472"/>
      <c r="X165" s="472"/>
      <c r="Y165" s="472"/>
      <c r="Z165" s="472"/>
      <c r="AA165" s="358">
        <f>AA45</f>
        <v>3383.5</v>
      </c>
    </row>
    <row r="166" spans="1:27" x14ac:dyDescent="0.25">
      <c r="A166" s="324" t="s">
        <v>42</v>
      </c>
      <c r="B166" s="472" t="str">
        <f>A50</f>
        <v>MÓDULO 2 – ENCARGOS E BENEFÍCIOS ANUAIS, MENSAIS E DIÁRIOS</v>
      </c>
      <c r="C166" s="472"/>
      <c r="D166" s="472"/>
      <c r="E166" s="472"/>
      <c r="F166" s="472"/>
      <c r="G166" s="472"/>
      <c r="H166" s="472"/>
      <c r="I166" s="358">
        <f>I102</f>
        <v>2258.295309056</v>
      </c>
      <c r="K166" s="324" t="s">
        <v>42</v>
      </c>
      <c r="L166" s="472" t="str">
        <f>K50</f>
        <v>MÓDULO 2 – ENCARGOS E BENEFÍCIOS ANUAIS, MENSAIS E DIÁRIOS</v>
      </c>
      <c r="M166" s="472"/>
      <c r="N166" s="472"/>
      <c r="O166" s="472"/>
      <c r="P166" s="472"/>
      <c r="Q166" s="472"/>
      <c r="R166" s="309"/>
      <c r="S166" s="324" t="s">
        <v>42</v>
      </c>
      <c r="T166" s="472" t="str">
        <f>S50</f>
        <v>MÓDULO 2 – ENCARGOS E BENEFÍCIOS ANUAIS, MENSAIS E DIÁRIOS</v>
      </c>
      <c r="U166" s="472"/>
      <c r="V166" s="472"/>
      <c r="W166" s="472"/>
      <c r="X166" s="472"/>
      <c r="Y166" s="472"/>
      <c r="Z166" s="472"/>
      <c r="AA166" s="358">
        <f>AA102</f>
        <v>3221.7094837333334</v>
      </c>
    </row>
    <row r="167" spans="1:27" x14ac:dyDescent="0.25">
      <c r="A167" s="324" t="s">
        <v>45</v>
      </c>
      <c r="B167" s="472" t="str">
        <f>A104</f>
        <v>MÓDULO 3 – PROVISÃO PARA RESCISÃO</v>
      </c>
      <c r="C167" s="472"/>
      <c r="D167" s="472"/>
      <c r="E167" s="472"/>
      <c r="F167" s="472"/>
      <c r="G167" s="472"/>
      <c r="H167" s="472"/>
      <c r="I167" s="358">
        <f>I112</f>
        <v>123.93311548800001</v>
      </c>
      <c r="K167" s="324" t="s">
        <v>45</v>
      </c>
      <c r="L167" s="472" t="str">
        <f>K104</f>
        <v>MÓDULO 3 – PROVISÃO PARA RESCISÃO</v>
      </c>
      <c r="M167" s="472"/>
      <c r="N167" s="472"/>
      <c r="O167" s="472"/>
      <c r="P167" s="472"/>
      <c r="Q167" s="472"/>
      <c r="R167" s="309"/>
      <c r="S167" s="324" t="s">
        <v>45</v>
      </c>
      <c r="T167" s="472" t="str">
        <f>S104</f>
        <v>MÓDULO 3 – PROVISÃO PARA RESCISÃO</v>
      </c>
      <c r="U167" s="472"/>
      <c r="V167" s="472"/>
      <c r="W167" s="472"/>
      <c r="X167" s="472"/>
      <c r="Y167" s="472"/>
      <c r="Z167" s="472"/>
      <c r="AA167" s="358">
        <f>AA112</f>
        <v>240.48293920000003</v>
      </c>
    </row>
    <row r="168" spans="1:27" x14ac:dyDescent="0.25">
      <c r="A168" s="361" t="s">
        <v>48</v>
      </c>
      <c r="B168" s="472" t="str">
        <f>A114</f>
        <v>MÓDULO 4 – CUSTO DE REPOSIÇÃO DO PROFISSIONAL AUSENTE</v>
      </c>
      <c r="C168" s="472"/>
      <c r="D168" s="472"/>
      <c r="E168" s="472"/>
      <c r="F168" s="472"/>
      <c r="G168" s="472"/>
      <c r="H168" s="472"/>
      <c r="I168" s="358">
        <f>I138</f>
        <v>48.900042360000008</v>
      </c>
      <c r="K168" s="361" t="s">
        <v>48</v>
      </c>
      <c r="L168" s="472" t="str">
        <f>K114</f>
        <v>MÓDULO 4 – CUSTO DE REPOSIÇÃO DO PROFISSIONAL AUSENTE</v>
      </c>
      <c r="M168" s="472"/>
      <c r="N168" s="472"/>
      <c r="O168" s="472"/>
      <c r="P168" s="472"/>
      <c r="Q168" s="472"/>
      <c r="R168" s="309"/>
      <c r="S168" s="361" t="s">
        <v>48</v>
      </c>
      <c r="T168" s="472" t="str">
        <f>S114</f>
        <v>MÓDULO 4 – CUSTO DE REPOSIÇÃO DO PROFISSIONAL AUSENTE</v>
      </c>
      <c r="U168" s="472"/>
      <c r="V168" s="472"/>
      <c r="W168" s="472"/>
      <c r="X168" s="472"/>
      <c r="Y168" s="472"/>
      <c r="Z168" s="472"/>
      <c r="AA168" s="358">
        <f>AA138</f>
        <v>94.886874000000006</v>
      </c>
    </row>
    <row r="169" spans="1:27" x14ac:dyDescent="0.25">
      <c r="A169" s="361" t="s">
        <v>84</v>
      </c>
      <c r="B169" s="472" t="str">
        <f>A140</f>
        <v>MÓDULO 5 – INSUMOS DIVERSOS</v>
      </c>
      <c r="C169" s="472"/>
      <c r="D169" s="472"/>
      <c r="E169" s="472"/>
      <c r="F169" s="472"/>
      <c r="G169" s="472"/>
      <c r="H169" s="472"/>
      <c r="I169" s="358">
        <f>I146</f>
        <v>2175.2229330808082</v>
      </c>
      <c r="K169" s="361" t="s">
        <v>84</v>
      </c>
      <c r="L169" s="472" t="str">
        <f>K140</f>
        <v>MÓDULO 5 – INSUMOS DIVERSOS</v>
      </c>
      <c r="M169" s="472"/>
      <c r="N169" s="472"/>
      <c r="O169" s="472"/>
      <c r="P169" s="472"/>
      <c r="Q169" s="472"/>
      <c r="R169" s="309"/>
      <c r="S169" s="361" t="s">
        <v>84</v>
      </c>
      <c r="T169" s="472" t="str">
        <f>S140</f>
        <v>MÓDULO 5 – INSUMOS DIVERSOS</v>
      </c>
      <c r="U169" s="472"/>
      <c r="V169" s="472"/>
      <c r="W169" s="472"/>
      <c r="X169" s="472"/>
      <c r="Y169" s="472"/>
      <c r="Z169" s="472"/>
      <c r="AA169" s="358">
        <f>AA146</f>
        <v>2175.2229330808082</v>
      </c>
    </row>
    <row r="170" spans="1:27" ht="13" x14ac:dyDescent="0.3">
      <c r="A170" s="328"/>
      <c r="B170" s="477" t="s">
        <v>201</v>
      </c>
      <c r="C170" s="477"/>
      <c r="D170" s="477"/>
      <c r="E170" s="477"/>
      <c r="F170" s="477"/>
      <c r="G170" s="477"/>
      <c r="H170" s="477"/>
      <c r="I170" s="362">
        <f>SUM(I165:I169)</f>
        <v>6350.0413999848079</v>
      </c>
      <c r="K170" s="328"/>
      <c r="L170" s="477" t="s">
        <v>201</v>
      </c>
      <c r="M170" s="477"/>
      <c r="N170" s="477"/>
      <c r="O170" s="477"/>
      <c r="P170" s="477"/>
      <c r="Q170" s="477"/>
      <c r="R170" s="4"/>
      <c r="S170" s="328"/>
      <c r="T170" s="477" t="s">
        <v>201</v>
      </c>
      <c r="U170" s="477"/>
      <c r="V170" s="477"/>
      <c r="W170" s="477"/>
      <c r="X170" s="477"/>
      <c r="Y170" s="477"/>
      <c r="Z170" s="477"/>
      <c r="AA170" s="362">
        <f>SUM(AA165:AA169)</f>
        <v>9115.802230014142</v>
      </c>
    </row>
    <row r="171" spans="1:27" x14ac:dyDescent="0.25">
      <c r="A171" s="361" t="s">
        <v>86</v>
      </c>
      <c r="B171" s="472" t="str">
        <f>A150</f>
        <v>MÓDULO 6 – CUSTOS INDIRETOS, TRIBUTOS E LUCRO</v>
      </c>
      <c r="C171" s="472"/>
      <c r="D171" s="472"/>
      <c r="E171" s="472"/>
      <c r="F171" s="472"/>
      <c r="G171" s="472"/>
      <c r="H171" s="472"/>
      <c r="I171" s="93">
        <f>I158</f>
        <v>2203.0755877498314</v>
      </c>
      <c r="K171" s="361" t="s">
        <v>86</v>
      </c>
      <c r="L171" s="472" t="str">
        <f>K150</f>
        <v>MÓDULO 6 – CUSTOS INDIRETOS, TRIBUTOS E LUCRO</v>
      </c>
      <c r="M171" s="472"/>
      <c r="N171" s="472"/>
      <c r="O171" s="472"/>
      <c r="P171" s="472"/>
      <c r="Q171" s="472"/>
      <c r="R171" s="7"/>
      <c r="S171" s="361" t="s">
        <v>86</v>
      </c>
      <c r="T171" s="472" t="str">
        <f>S150</f>
        <v>MÓDULO 6 – CUSTOS INDIRETOS, TRIBUTOS E LUCRO</v>
      </c>
      <c r="U171" s="472"/>
      <c r="V171" s="472"/>
      <c r="W171" s="472"/>
      <c r="X171" s="472"/>
      <c r="Y171" s="472"/>
      <c r="Z171" s="472"/>
      <c r="AA171" s="93">
        <f>AA158</f>
        <v>3162.625263474295</v>
      </c>
    </row>
    <row r="172" spans="1:27" ht="13.5" thickBot="1" x14ac:dyDescent="0.35">
      <c r="A172" s="473" t="s">
        <v>202</v>
      </c>
      <c r="B172" s="474"/>
      <c r="C172" s="474"/>
      <c r="D172" s="474"/>
      <c r="E172" s="474"/>
      <c r="F172" s="474"/>
      <c r="G172" s="474"/>
      <c r="H172" s="474"/>
      <c r="I172" s="363">
        <f>SUM(I45,I102,I112,I138,I146,I152,I153)/(1-SUM(H155:H157))</f>
        <v>8553.1169877346401</v>
      </c>
      <c r="K172" s="473" t="s">
        <v>202</v>
      </c>
      <c r="L172" s="474"/>
      <c r="M172" s="474"/>
      <c r="N172" s="474"/>
      <c r="O172" s="474"/>
      <c r="P172" s="474"/>
      <c r="Q172" s="474"/>
      <c r="R172" s="315"/>
      <c r="S172" s="473" t="s">
        <v>202</v>
      </c>
      <c r="T172" s="474"/>
      <c r="U172" s="474"/>
      <c r="V172" s="474"/>
      <c r="W172" s="474"/>
      <c r="X172" s="474"/>
      <c r="Y172" s="474"/>
      <c r="Z172" s="474"/>
      <c r="AA172" s="363">
        <f>SUM(AA45,AA102,AA112,AA138,AA146,AA152,AA153)/(1-SUM(Z155:Z157))</f>
        <v>12278.427493488438</v>
      </c>
    </row>
    <row r="173" spans="1:27" ht="13.5" thickBot="1" x14ac:dyDescent="0.35">
      <c r="A173" s="3"/>
      <c r="B173" s="3"/>
      <c r="C173" s="3"/>
      <c r="D173" s="3"/>
      <c r="E173" s="3"/>
      <c r="F173" s="3"/>
      <c r="G173" s="3"/>
      <c r="H173" s="3"/>
      <c r="I173" s="4"/>
      <c r="K173" s="68"/>
      <c r="S173" s="68"/>
      <c r="AA173" s="69"/>
    </row>
    <row r="174" spans="1:27" s="303" customFormat="1" ht="17.5" customHeight="1" thickBot="1" x14ac:dyDescent="0.3">
      <c r="A174" s="468" t="s">
        <v>203</v>
      </c>
      <c r="B174" s="469"/>
      <c r="C174" s="469"/>
      <c r="D174" s="469"/>
      <c r="E174" s="469"/>
      <c r="F174" s="469"/>
      <c r="G174" s="469"/>
      <c r="H174" s="373">
        <v>10</v>
      </c>
      <c r="I174" s="364">
        <f>I172*H174</f>
        <v>85531.169877346401</v>
      </c>
      <c r="K174" s="367"/>
      <c r="L174" s="304"/>
      <c r="M174" s="304"/>
      <c r="N174" s="304"/>
      <c r="O174" s="304"/>
      <c r="P174" s="304"/>
      <c r="Q174" s="304"/>
      <c r="S174" s="367"/>
      <c r="T174" s="304"/>
      <c r="U174" s="304"/>
      <c r="V174" s="304"/>
      <c r="W174" s="304"/>
      <c r="X174" s="475" t="s">
        <v>204</v>
      </c>
      <c r="Y174" s="476"/>
      <c r="Z174" s="373">
        <f>AA16</f>
        <v>1</v>
      </c>
      <c r="AA174" s="305">
        <f>AA172*Z174</f>
        <v>12278.427493488438</v>
      </c>
    </row>
    <row r="175" spans="1:27" s="303" customFormat="1" ht="25" customHeight="1" thickBot="1" x14ac:dyDescent="0.3">
      <c r="A175" s="470">
        <f>(I174+AA174)</f>
        <v>97809.597370834847</v>
      </c>
      <c r="B175" s="471"/>
      <c r="C175" s="471"/>
      <c r="D175" s="471"/>
      <c r="E175" s="471"/>
      <c r="F175" s="471"/>
      <c r="G175" s="471"/>
      <c r="H175" s="466" t="str">
        <f>I31</f>
        <v>Servente</v>
      </c>
      <c r="I175" s="467"/>
      <c r="K175" s="368"/>
      <c r="L175" s="302"/>
      <c r="M175" s="302"/>
      <c r="N175" s="302"/>
      <c r="O175" s="302"/>
      <c r="P175" s="302"/>
      <c r="Q175" s="302"/>
      <c r="S175" s="368"/>
      <c r="T175" s="302"/>
      <c r="U175" s="302"/>
      <c r="V175" s="302"/>
      <c r="W175" s="302"/>
      <c r="X175" s="302"/>
      <c r="Y175" s="302"/>
      <c r="Z175" s="464" t="str">
        <f>AA31</f>
        <v>Encarregado de limpeza</v>
      </c>
      <c r="AA175" s="465"/>
    </row>
    <row r="176" spans="1:27" ht="13" x14ac:dyDescent="0.3">
      <c r="A176" s="3"/>
      <c r="B176" s="3"/>
      <c r="C176" s="3"/>
      <c r="D176" s="3"/>
      <c r="E176" s="3"/>
      <c r="F176" s="3"/>
      <c r="G176" s="3"/>
      <c r="H176" s="3"/>
      <c r="I176" s="4"/>
    </row>
    <row r="177" spans="1:9" ht="13" x14ac:dyDescent="0.3">
      <c r="A177" s="3"/>
      <c r="B177" s="3"/>
      <c r="C177" s="3"/>
      <c r="D177" s="3"/>
      <c r="E177" s="3"/>
      <c r="F177" s="3"/>
      <c r="G177" s="3"/>
      <c r="H177" s="3"/>
      <c r="I177" s="4"/>
    </row>
    <row r="178" spans="1:9" ht="13" x14ac:dyDescent="0.3">
      <c r="A178" s="3"/>
      <c r="B178" s="3"/>
      <c r="C178" s="3"/>
      <c r="D178" s="3"/>
      <c r="E178" s="3"/>
      <c r="F178" s="3"/>
      <c r="G178" s="3"/>
      <c r="H178" s="3"/>
      <c r="I178" s="4"/>
    </row>
    <row r="179" spans="1:9" ht="23.15" customHeight="1" x14ac:dyDescent="0.25">
      <c r="A179" s="517" t="s">
        <v>205</v>
      </c>
      <c r="B179" s="518"/>
      <c r="C179" s="518"/>
      <c r="D179" s="518"/>
      <c r="E179" s="518"/>
      <c r="F179" s="518"/>
      <c r="G179" s="518"/>
      <c r="H179" s="518"/>
      <c r="I179" s="519"/>
    </row>
    <row r="180" spans="1:9" ht="13" x14ac:dyDescent="0.3">
      <c r="A180" s="529"/>
      <c r="B180" s="530"/>
      <c r="C180" s="530"/>
      <c r="D180" s="530"/>
      <c r="E180" s="530"/>
      <c r="F180" s="530"/>
      <c r="G180" s="530"/>
      <c r="H180" s="530"/>
      <c r="I180" s="531"/>
    </row>
    <row r="181" spans="1:9" x14ac:dyDescent="0.25">
      <c r="A181" s="532" t="s">
        <v>206</v>
      </c>
      <c r="B181" s="533"/>
      <c r="C181" s="533"/>
      <c r="D181" s="533"/>
      <c r="E181" s="533"/>
      <c r="F181" s="533"/>
      <c r="G181" s="533"/>
      <c r="H181" s="533"/>
      <c r="I181" s="534"/>
    </row>
    <row r="182" spans="1:9" ht="29.15" customHeight="1" x14ac:dyDescent="0.25">
      <c r="A182" s="535"/>
      <c r="B182" s="536"/>
      <c r="C182" s="536"/>
      <c r="D182" s="536"/>
      <c r="E182" s="536"/>
      <c r="F182" s="536"/>
      <c r="G182" s="536"/>
      <c r="H182" s="536"/>
      <c r="I182" s="537"/>
    </row>
    <row r="184" spans="1:9" ht="39" x14ac:dyDescent="0.25">
      <c r="A184" s="538" t="s">
        <v>207</v>
      </c>
      <c r="B184" s="538"/>
      <c r="C184" s="538"/>
      <c r="D184" s="56" t="s">
        <v>208</v>
      </c>
      <c r="E184" s="47" t="s">
        <v>209</v>
      </c>
      <c r="F184" s="47" t="s">
        <v>210</v>
      </c>
      <c r="G184" s="539" t="s">
        <v>211</v>
      </c>
      <c r="H184" s="538"/>
      <c r="I184" s="56" t="s">
        <v>212</v>
      </c>
    </row>
    <row r="185" spans="1:9" ht="34.5" customHeight="1" x14ac:dyDescent="0.25">
      <c r="A185" s="541" t="s">
        <v>213</v>
      </c>
      <c r="B185" s="541"/>
      <c r="C185" s="541"/>
      <c r="D185" s="372">
        <v>800</v>
      </c>
      <c r="E185" s="36">
        <f>H174+Z174</f>
        <v>11</v>
      </c>
      <c r="F185" s="371">
        <f>E185*D185</f>
        <v>8800</v>
      </c>
      <c r="G185" s="542">
        <f>A175</f>
        <v>97809.597370834847</v>
      </c>
      <c r="H185" s="541"/>
      <c r="I185" s="369">
        <f>TRUNC((1/F185*G185),2)</f>
        <v>11.11</v>
      </c>
    </row>
    <row r="186" spans="1:9" ht="13" x14ac:dyDescent="0.3">
      <c r="A186" s="477" t="s">
        <v>214</v>
      </c>
      <c r="B186" s="477"/>
      <c r="C186" s="477"/>
      <c r="D186" s="477"/>
      <c r="E186" s="477"/>
      <c r="F186" s="477"/>
      <c r="G186" s="477"/>
      <c r="H186" s="477"/>
      <c r="I186" s="370">
        <f>SUM(I185:I185)</f>
        <v>11.11</v>
      </c>
    </row>
    <row r="187" spans="1:9" s="50" customFormat="1" ht="19" customHeight="1" x14ac:dyDescent="0.25">
      <c r="A187" s="514" t="s">
        <v>215</v>
      </c>
      <c r="B187" s="514"/>
      <c r="C187" s="514"/>
      <c r="D187" s="514"/>
      <c r="E187" s="514"/>
      <c r="F187" s="514"/>
      <c r="G187" s="514"/>
      <c r="H187" s="514"/>
      <c r="I187" s="514"/>
    </row>
    <row r="188" spans="1:9" hidden="1" outlineLevel="1" x14ac:dyDescent="0.25"/>
    <row r="189" spans="1:9" hidden="1" outlineLevel="1" x14ac:dyDescent="0.25">
      <c r="A189" s="532" t="s">
        <v>216</v>
      </c>
      <c r="B189" s="533"/>
      <c r="C189" s="533"/>
      <c r="D189" s="533"/>
      <c r="E189" s="533"/>
      <c r="F189" s="533"/>
      <c r="G189" s="533"/>
      <c r="H189" s="533"/>
      <c r="I189" s="534"/>
    </row>
    <row r="190" spans="1:9" hidden="1" outlineLevel="1" x14ac:dyDescent="0.25">
      <c r="A190" s="535"/>
      <c r="B190" s="536"/>
      <c r="C190" s="536"/>
      <c r="D190" s="536"/>
      <c r="E190" s="536"/>
      <c r="F190" s="536"/>
      <c r="G190" s="536"/>
      <c r="H190" s="536"/>
      <c r="I190" s="537"/>
    </row>
    <row r="191" spans="1:9" hidden="1" outlineLevel="1" x14ac:dyDescent="0.25"/>
    <row r="192" spans="1:9" ht="39" hidden="1" outlineLevel="1" x14ac:dyDescent="0.3">
      <c r="A192" s="538" t="s">
        <v>207</v>
      </c>
      <c r="B192" s="538"/>
      <c r="C192" s="538"/>
      <c r="D192" s="540" t="s">
        <v>217</v>
      </c>
      <c r="E192" s="477"/>
      <c r="F192" s="477"/>
      <c r="G192" s="540" t="s">
        <v>218</v>
      </c>
      <c r="H192" s="477"/>
      <c r="I192" s="56" t="s">
        <v>212</v>
      </c>
    </row>
    <row r="193" spans="1:9" ht="30" hidden="1" customHeight="1" outlineLevel="1" x14ac:dyDescent="0.25">
      <c r="A193" s="541" t="s">
        <v>69</v>
      </c>
      <c r="B193" s="541"/>
      <c r="C193" s="541"/>
      <c r="D193" s="522" t="s">
        <v>219</v>
      </c>
      <c r="E193" s="541"/>
      <c r="F193" s="541"/>
      <c r="G193" s="542">
        <f>A175</f>
        <v>97809.597370834847</v>
      </c>
      <c r="H193" s="541"/>
      <c r="I193" s="173">
        <f>TRUNC((1/1800)*G193,2)</f>
        <v>54.33</v>
      </c>
    </row>
    <row r="194" spans="1:9" ht="13" hidden="1" outlineLevel="1" x14ac:dyDescent="0.3">
      <c r="A194" s="477" t="s">
        <v>214</v>
      </c>
      <c r="B194" s="477"/>
      <c r="C194" s="477"/>
      <c r="D194" s="477"/>
      <c r="E194" s="477"/>
      <c r="F194" s="477"/>
      <c r="G194" s="477"/>
      <c r="H194" s="477"/>
      <c r="I194" s="174">
        <f>SUM(I193:I193)</f>
        <v>54.33</v>
      </c>
    </row>
    <row r="195" spans="1:9" hidden="1" outlineLevel="1" x14ac:dyDescent="0.25"/>
    <row r="196" spans="1:9" ht="13" hidden="1" outlineLevel="1" x14ac:dyDescent="0.3">
      <c r="A196" s="478" t="s">
        <v>220</v>
      </c>
      <c r="B196" s="478"/>
      <c r="C196" s="478"/>
      <c r="D196" s="478"/>
      <c r="E196" s="478"/>
      <c r="F196" s="478"/>
      <c r="G196" s="478"/>
      <c r="H196" s="478"/>
      <c r="I196" s="478"/>
    </row>
    <row r="197" spans="1:9" hidden="1" outlineLevel="1" x14ac:dyDescent="0.25"/>
    <row r="198" spans="1:9" hidden="1" outlineLevel="1" x14ac:dyDescent="0.25">
      <c r="A198" s="532" t="s">
        <v>221</v>
      </c>
      <c r="B198" s="533"/>
      <c r="C198" s="533"/>
      <c r="D198" s="533"/>
      <c r="E198" s="533"/>
      <c r="F198" s="533"/>
      <c r="G198" s="533"/>
      <c r="H198" s="533"/>
      <c r="I198" s="534"/>
    </row>
    <row r="199" spans="1:9" hidden="1" outlineLevel="1" x14ac:dyDescent="0.25">
      <c r="A199" s="535"/>
      <c r="B199" s="536"/>
      <c r="C199" s="536"/>
      <c r="D199" s="536"/>
      <c r="E199" s="536"/>
      <c r="F199" s="536"/>
      <c r="G199" s="536"/>
      <c r="H199" s="536"/>
      <c r="I199" s="537"/>
    </row>
    <row r="200" spans="1:9" hidden="1" outlineLevel="1" x14ac:dyDescent="0.25"/>
    <row r="201" spans="1:9" ht="39" hidden="1" outlineLevel="1" x14ac:dyDescent="0.3">
      <c r="A201" s="538" t="s">
        <v>207</v>
      </c>
      <c r="B201" s="538"/>
      <c r="C201" s="538"/>
      <c r="D201" s="540" t="s">
        <v>217</v>
      </c>
      <c r="E201" s="477"/>
      <c r="F201" s="477"/>
      <c r="G201" s="540" t="s">
        <v>218</v>
      </c>
      <c r="H201" s="477"/>
      <c r="I201" s="56" t="s">
        <v>212</v>
      </c>
    </row>
    <row r="202" spans="1:9" ht="30.65" hidden="1" customHeight="1" outlineLevel="1" x14ac:dyDescent="0.25">
      <c r="A202" s="541" t="s">
        <v>69</v>
      </c>
      <c r="B202" s="541"/>
      <c r="C202" s="541"/>
      <c r="D202" s="522" t="s">
        <v>222</v>
      </c>
      <c r="E202" s="541"/>
      <c r="F202" s="541"/>
      <c r="G202" s="542">
        <f>G185</f>
        <v>97809.597370834847</v>
      </c>
      <c r="H202" s="541"/>
      <c r="I202" s="173">
        <f>TRUNC((1/300)*G202,2)</f>
        <v>326.02999999999997</v>
      </c>
    </row>
    <row r="203" spans="1:9" ht="13" hidden="1" outlineLevel="1" x14ac:dyDescent="0.3">
      <c r="A203" s="477" t="s">
        <v>214</v>
      </c>
      <c r="B203" s="477"/>
      <c r="C203" s="477"/>
      <c r="D203" s="477"/>
      <c r="E203" s="477"/>
      <c r="F203" s="477"/>
      <c r="G203" s="477"/>
      <c r="H203" s="477"/>
      <c r="I203" s="174">
        <f>SUM(I202:I202)</f>
        <v>326.02999999999997</v>
      </c>
    </row>
    <row r="204" spans="1:9" hidden="1" outlineLevel="1" x14ac:dyDescent="0.25"/>
    <row r="205" spans="1:9" ht="13" hidden="1" outlineLevel="1" x14ac:dyDescent="0.3">
      <c r="A205" s="478" t="s">
        <v>223</v>
      </c>
      <c r="B205" s="478"/>
      <c r="C205" s="478"/>
      <c r="D205" s="478"/>
      <c r="E205" s="478"/>
      <c r="F205" s="478"/>
      <c r="G205" s="478"/>
      <c r="H205" s="478"/>
      <c r="I205" s="478"/>
    </row>
    <row r="206" spans="1:9" hidden="1" outlineLevel="1" x14ac:dyDescent="0.25"/>
    <row r="207" spans="1:9" hidden="1" outlineLevel="1" x14ac:dyDescent="0.25">
      <c r="A207" s="543" t="s">
        <v>224</v>
      </c>
      <c r="B207" s="544"/>
      <c r="C207" s="544"/>
      <c r="D207" s="544"/>
      <c r="E207" s="544"/>
      <c r="F207" s="544"/>
      <c r="G207" s="544"/>
      <c r="H207" s="544"/>
      <c r="I207" s="545"/>
    </row>
    <row r="208" spans="1:9" hidden="1" outlineLevel="1" x14ac:dyDescent="0.25">
      <c r="A208" s="546"/>
      <c r="B208" s="547"/>
      <c r="C208" s="547"/>
      <c r="D208" s="547"/>
      <c r="E208" s="547"/>
      <c r="F208" s="547"/>
      <c r="G208" s="547"/>
      <c r="H208" s="547"/>
      <c r="I208" s="548"/>
    </row>
    <row r="209" spans="1:9" hidden="1" outlineLevel="1" x14ac:dyDescent="0.25"/>
    <row r="210" spans="1:9" ht="39" hidden="1" outlineLevel="1" x14ac:dyDescent="0.3">
      <c r="A210" s="538" t="s">
        <v>207</v>
      </c>
      <c r="B210" s="538"/>
      <c r="C210" s="538"/>
      <c r="D210" s="540" t="s">
        <v>217</v>
      </c>
      <c r="E210" s="477"/>
      <c r="F210" s="477"/>
      <c r="G210" s="540" t="s">
        <v>218</v>
      </c>
      <c r="H210" s="477"/>
      <c r="I210" s="56" t="s">
        <v>212</v>
      </c>
    </row>
    <row r="211" spans="1:9" ht="29.5" hidden="1" customHeight="1" outlineLevel="1" x14ac:dyDescent="0.25">
      <c r="A211" s="541" t="s">
        <v>69</v>
      </c>
      <c r="B211" s="541"/>
      <c r="C211" s="541"/>
      <c r="D211" s="522" t="s">
        <v>225</v>
      </c>
      <c r="E211" s="541"/>
      <c r="F211" s="541"/>
      <c r="G211" s="542">
        <f>G202</f>
        <v>97809.597370834847</v>
      </c>
      <c r="H211" s="541"/>
      <c r="I211" s="173">
        <f>TRUNC((1/130)*G211/22,2)</f>
        <v>34.19</v>
      </c>
    </row>
    <row r="212" spans="1:9" ht="13" hidden="1" outlineLevel="1" x14ac:dyDescent="0.3">
      <c r="A212" s="477" t="s">
        <v>214</v>
      </c>
      <c r="B212" s="477"/>
      <c r="C212" s="477"/>
      <c r="D212" s="477"/>
      <c r="E212" s="477"/>
      <c r="F212" s="477"/>
      <c r="G212" s="477"/>
      <c r="H212" s="477"/>
      <c r="I212" s="301">
        <f>SUM(I211:I211)</f>
        <v>34.19</v>
      </c>
    </row>
    <row r="213" spans="1:9" hidden="1" outlineLevel="1" x14ac:dyDescent="0.25"/>
    <row r="214" spans="1:9" ht="13" hidden="1" outlineLevel="1" x14ac:dyDescent="0.3">
      <c r="A214" s="478" t="s">
        <v>226</v>
      </c>
      <c r="B214" s="478"/>
      <c r="C214" s="478"/>
      <c r="D214" s="478"/>
      <c r="E214" s="478"/>
      <c r="F214" s="478"/>
      <c r="G214" s="478"/>
      <c r="H214" s="478"/>
      <c r="I214" s="478"/>
    </row>
    <row r="215" spans="1:9" hidden="1" outlineLevel="1" x14ac:dyDescent="0.25"/>
    <row r="216" spans="1:9" hidden="1" outlineLevel="1" x14ac:dyDescent="0.25">
      <c r="A216" s="549" t="s">
        <v>227</v>
      </c>
      <c r="B216" s="550"/>
      <c r="C216" s="550"/>
      <c r="D216" s="550"/>
      <c r="E216" s="550"/>
      <c r="F216" s="550"/>
      <c r="G216" s="550"/>
      <c r="H216" s="550"/>
      <c r="I216" s="550"/>
    </row>
    <row r="217" spans="1:9" hidden="1" outlineLevel="1" x14ac:dyDescent="0.25"/>
    <row r="218" spans="1:9" hidden="1" outlineLevel="1" x14ac:dyDescent="0.25">
      <c r="A218" s="549" t="s">
        <v>228</v>
      </c>
      <c r="B218" s="550"/>
      <c r="C218" s="550"/>
      <c r="D218" s="550"/>
      <c r="E218" s="550"/>
      <c r="F218" s="550"/>
      <c r="G218" s="550"/>
      <c r="H218" s="550"/>
      <c r="I218" s="550"/>
    </row>
    <row r="219" spans="1:9" hidden="1" outlineLevel="1" x14ac:dyDescent="0.25">
      <c r="A219" s="274"/>
      <c r="B219" s="275"/>
      <c r="C219" s="275"/>
      <c r="D219" s="275"/>
      <c r="E219" s="275"/>
      <c r="F219" s="275"/>
      <c r="G219" s="275"/>
      <c r="H219" s="275"/>
      <c r="I219" s="275"/>
    </row>
    <row r="220" spans="1:9" hidden="1" outlineLevel="1" x14ac:dyDescent="0.25">
      <c r="A220" s="549" t="s">
        <v>229</v>
      </c>
      <c r="B220" s="550"/>
      <c r="C220" s="550"/>
      <c r="D220" s="550"/>
      <c r="E220" s="550"/>
      <c r="F220" s="550"/>
      <c r="G220" s="550"/>
      <c r="H220" s="550"/>
      <c r="I220" s="550"/>
    </row>
    <row r="221" spans="1:9" hidden="1" outlineLevel="1" x14ac:dyDescent="0.25"/>
    <row r="222" spans="1:9" hidden="1" outlineLevel="1" x14ac:dyDescent="0.25"/>
    <row r="223" spans="1:9" collapsed="1" x14ac:dyDescent="0.25"/>
    <row r="224" spans="1:9" s="41" customFormat="1" x14ac:dyDescent="0.25"/>
  </sheetData>
  <mergeCells count="396">
    <mergeCell ref="B156:G156"/>
    <mergeCell ref="B145:G145"/>
    <mergeCell ref="B143:G143"/>
    <mergeCell ref="B142:G142"/>
    <mergeCell ref="B153:G153"/>
    <mergeCell ref="B154:G154"/>
    <mergeCell ref="A163:I163"/>
    <mergeCell ref="B168:H168"/>
    <mergeCell ref="A138:H138"/>
    <mergeCell ref="A146:G146"/>
    <mergeCell ref="A150:I150"/>
    <mergeCell ref="B141:G141"/>
    <mergeCell ref="B144:G144"/>
    <mergeCell ref="A158:G158"/>
    <mergeCell ref="B155:G155"/>
    <mergeCell ref="B165:H165"/>
    <mergeCell ref="B74:G74"/>
    <mergeCell ref="A134:I134"/>
    <mergeCell ref="B151:G151"/>
    <mergeCell ref="B152:G152"/>
    <mergeCell ref="A139:I139"/>
    <mergeCell ref="A140:I140"/>
    <mergeCell ref="B135:G135"/>
    <mergeCell ref="B136:G136"/>
    <mergeCell ref="B137:G137"/>
    <mergeCell ref="A112:G112"/>
    <mergeCell ref="B119:G119"/>
    <mergeCell ref="B121:G121"/>
    <mergeCell ref="B122:G122"/>
    <mergeCell ref="B130:G130"/>
    <mergeCell ref="B125:G125"/>
    <mergeCell ref="B124:G124"/>
    <mergeCell ref="A126:G126"/>
    <mergeCell ref="B120:G120"/>
    <mergeCell ref="B131:G131"/>
    <mergeCell ref="B127:G127"/>
    <mergeCell ref="A128:G128"/>
    <mergeCell ref="A132:G132"/>
    <mergeCell ref="B123:G123"/>
    <mergeCell ref="A1:I1"/>
    <mergeCell ref="A27:I27"/>
    <mergeCell ref="A8:I8"/>
    <mergeCell ref="A16:B16"/>
    <mergeCell ref="A15:B15"/>
    <mergeCell ref="C15:D15"/>
    <mergeCell ref="E15:I15"/>
    <mergeCell ref="A14:I14"/>
    <mergeCell ref="C16:D16"/>
    <mergeCell ref="B9:H9"/>
    <mergeCell ref="B10:H10"/>
    <mergeCell ref="B11:H11"/>
    <mergeCell ref="B12:H12"/>
    <mergeCell ref="A3:F3"/>
    <mergeCell ref="A4:F4"/>
    <mergeCell ref="A6:F6"/>
    <mergeCell ref="E16:H16"/>
    <mergeCell ref="B72:G72"/>
    <mergeCell ref="B52:G52"/>
    <mergeCell ref="B83:G83"/>
    <mergeCell ref="A114:I114"/>
    <mergeCell ref="A98:H98"/>
    <mergeCell ref="B99:H99"/>
    <mergeCell ref="B100:H100"/>
    <mergeCell ref="B86:G86"/>
    <mergeCell ref="B110:G110"/>
    <mergeCell ref="B111:G111"/>
    <mergeCell ref="A113:I113"/>
    <mergeCell ref="A103:I103"/>
    <mergeCell ref="A104:I104"/>
    <mergeCell ref="B105:G105"/>
    <mergeCell ref="B106:G106"/>
    <mergeCell ref="B107:G107"/>
    <mergeCell ref="B108:G108"/>
    <mergeCell ref="B109:G109"/>
    <mergeCell ref="B101:H101"/>
    <mergeCell ref="A102:H102"/>
    <mergeCell ref="B89:G89"/>
    <mergeCell ref="B87:G87"/>
    <mergeCell ref="B84:G84"/>
    <mergeCell ref="B85:G85"/>
    <mergeCell ref="A212:H212"/>
    <mergeCell ref="A214:I214"/>
    <mergeCell ref="A216:I216"/>
    <mergeCell ref="A218:I218"/>
    <mergeCell ref="A220:I220"/>
    <mergeCell ref="A211:C211"/>
    <mergeCell ref="D211:F211"/>
    <mergeCell ref="G211:H211"/>
    <mergeCell ref="B28:H28"/>
    <mergeCell ref="B29:H29"/>
    <mergeCell ref="B30:H30"/>
    <mergeCell ref="B31:H31"/>
    <mergeCell ref="B32:H32"/>
    <mergeCell ref="B40:G40"/>
    <mergeCell ref="B41:G41"/>
    <mergeCell ref="A75:G75"/>
    <mergeCell ref="B68:G68"/>
    <mergeCell ref="B51:G51"/>
    <mergeCell ref="B66:G66"/>
    <mergeCell ref="B55:G55"/>
    <mergeCell ref="A56:G56"/>
    <mergeCell ref="B44:G44"/>
    <mergeCell ref="A45:H45"/>
    <mergeCell ref="A50:I50"/>
    <mergeCell ref="A203:H203"/>
    <mergeCell ref="A205:I205"/>
    <mergeCell ref="A210:C210"/>
    <mergeCell ref="D210:F210"/>
    <mergeCell ref="G210:H210"/>
    <mergeCell ref="A207:I208"/>
    <mergeCell ref="A202:C202"/>
    <mergeCell ref="D202:F202"/>
    <mergeCell ref="G202:H202"/>
    <mergeCell ref="A180:I180"/>
    <mergeCell ref="A181:I182"/>
    <mergeCell ref="A184:C184"/>
    <mergeCell ref="G184:H184"/>
    <mergeCell ref="A201:C201"/>
    <mergeCell ref="D201:F201"/>
    <mergeCell ref="G201:H201"/>
    <mergeCell ref="A186:H186"/>
    <mergeCell ref="A187:I187"/>
    <mergeCell ref="A189:I190"/>
    <mergeCell ref="A185:C185"/>
    <mergeCell ref="G185:H185"/>
    <mergeCell ref="A194:H194"/>
    <mergeCell ref="A196:I196"/>
    <mergeCell ref="A192:C192"/>
    <mergeCell ref="D192:F192"/>
    <mergeCell ref="G192:H192"/>
    <mergeCell ref="A193:C193"/>
    <mergeCell ref="D193:F193"/>
    <mergeCell ref="G193:H193"/>
    <mergeCell ref="A198:I199"/>
    <mergeCell ref="S14:AA14"/>
    <mergeCell ref="S15:T15"/>
    <mergeCell ref="U15:V15"/>
    <mergeCell ref="W15:AA15"/>
    <mergeCell ref="S16:T16"/>
    <mergeCell ref="U16:V16"/>
    <mergeCell ref="S27:AA27"/>
    <mergeCell ref="A179:I179"/>
    <mergeCell ref="B67:G67"/>
    <mergeCell ref="B70:G70"/>
    <mergeCell ref="B71:G71"/>
    <mergeCell ref="B73:G73"/>
    <mergeCell ref="A37:I37"/>
    <mergeCell ref="B38:G38"/>
    <mergeCell ref="B39:G39"/>
    <mergeCell ref="B43:G43"/>
    <mergeCell ref="B42:G42"/>
    <mergeCell ref="B53:G53"/>
    <mergeCell ref="A54:G54"/>
    <mergeCell ref="B88:G88"/>
    <mergeCell ref="A90:H90"/>
    <mergeCell ref="B157:G157"/>
    <mergeCell ref="A164:H164"/>
    <mergeCell ref="B69:G69"/>
    <mergeCell ref="S1:AA1"/>
    <mergeCell ref="S3:X3"/>
    <mergeCell ref="S4:X4"/>
    <mergeCell ref="S6:X6"/>
    <mergeCell ref="S8:AA8"/>
    <mergeCell ref="T9:Z9"/>
    <mergeCell ref="T10:Z10"/>
    <mergeCell ref="T11:Z11"/>
    <mergeCell ref="T12:Z12"/>
    <mergeCell ref="T28:Z28"/>
    <mergeCell ref="T29:Z29"/>
    <mergeCell ref="T30:Z30"/>
    <mergeCell ref="T31:Z31"/>
    <mergeCell ref="T32:Z32"/>
    <mergeCell ref="S37:AA37"/>
    <mergeCell ref="T38:Y38"/>
    <mergeCell ref="T39:Y39"/>
    <mergeCell ref="T40:Y40"/>
    <mergeCell ref="T41:Y41"/>
    <mergeCell ref="T42:Y42"/>
    <mergeCell ref="T43:Y43"/>
    <mergeCell ref="T44:Y44"/>
    <mergeCell ref="S45:Z45"/>
    <mergeCell ref="S50:AA50"/>
    <mergeCell ref="T51:Y51"/>
    <mergeCell ref="T52:Y52"/>
    <mergeCell ref="T53:Y53"/>
    <mergeCell ref="S54:Y54"/>
    <mergeCell ref="T55:Y55"/>
    <mergeCell ref="S56:Y56"/>
    <mergeCell ref="T66:Y66"/>
    <mergeCell ref="T67:Y67"/>
    <mergeCell ref="T68:Y68"/>
    <mergeCell ref="T69:Y69"/>
    <mergeCell ref="T70:Y70"/>
    <mergeCell ref="T71:Y71"/>
    <mergeCell ref="T72:Y72"/>
    <mergeCell ref="T73:Y73"/>
    <mergeCell ref="T74:Y74"/>
    <mergeCell ref="S75:Y75"/>
    <mergeCell ref="T83:Y83"/>
    <mergeCell ref="T84:Y84"/>
    <mergeCell ref="T85:Y85"/>
    <mergeCell ref="T86:Y86"/>
    <mergeCell ref="T87:Y87"/>
    <mergeCell ref="T88:Y88"/>
    <mergeCell ref="T89:Y89"/>
    <mergeCell ref="S90:Z90"/>
    <mergeCell ref="S98:Z98"/>
    <mergeCell ref="T99:Z99"/>
    <mergeCell ref="T100:Z100"/>
    <mergeCell ref="T101:Z101"/>
    <mergeCell ref="S102:Z102"/>
    <mergeCell ref="S103:AA103"/>
    <mergeCell ref="S104:AA104"/>
    <mergeCell ref="T105:Y105"/>
    <mergeCell ref="T106:Y106"/>
    <mergeCell ref="T107:Y107"/>
    <mergeCell ref="T108:Y108"/>
    <mergeCell ref="T109:Y109"/>
    <mergeCell ref="T110:Y110"/>
    <mergeCell ref="T111:Y111"/>
    <mergeCell ref="S112:Y112"/>
    <mergeCell ref="S113:AA113"/>
    <mergeCell ref="S114:AA114"/>
    <mergeCell ref="T119:Y119"/>
    <mergeCell ref="T120:Y120"/>
    <mergeCell ref="T121:Y121"/>
    <mergeCell ref="T122:Y122"/>
    <mergeCell ref="T123:Y123"/>
    <mergeCell ref="T124:Y124"/>
    <mergeCell ref="T125:Y125"/>
    <mergeCell ref="S126:Y126"/>
    <mergeCell ref="T127:Y127"/>
    <mergeCell ref="S128:Y128"/>
    <mergeCell ref="T130:Y130"/>
    <mergeCell ref="T131:Y131"/>
    <mergeCell ref="S132:Y132"/>
    <mergeCell ref="S134:AA134"/>
    <mergeCell ref="T135:Y135"/>
    <mergeCell ref="T136:Y136"/>
    <mergeCell ref="T137:Y137"/>
    <mergeCell ref="S138:Z138"/>
    <mergeCell ref="S139:AA139"/>
    <mergeCell ref="S140:AA140"/>
    <mergeCell ref="T141:Y141"/>
    <mergeCell ref="T142:Y142"/>
    <mergeCell ref="T143:Y143"/>
    <mergeCell ref="T144:Y144"/>
    <mergeCell ref="T145:Y145"/>
    <mergeCell ref="S146:Y146"/>
    <mergeCell ref="S150:AA150"/>
    <mergeCell ref="T151:Y151"/>
    <mergeCell ref="T152:Y152"/>
    <mergeCell ref="T153:Y153"/>
    <mergeCell ref="T154:Y154"/>
    <mergeCell ref="T155:Y155"/>
    <mergeCell ref="T156:Y156"/>
    <mergeCell ref="T157:Y157"/>
    <mergeCell ref="S158:Y158"/>
    <mergeCell ref="S163:AA163"/>
    <mergeCell ref="S164:Z164"/>
    <mergeCell ref="T165:Z165"/>
    <mergeCell ref="T166:Z166"/>
    <mergeCell ref="T167:Z167"/>
    <mergeCell ref="T168:Z168"/>
    <mergeCell ref="T169:Z169"/>
    <mergeCell ref="T170:Z170"/>
    <mergeCell ref="K75:Q75"/>
    <mergeCell ref="L52:Q52"/>
    <mergeCell ref="L38:Q38"/>
    <mergeCell ref="L39:Q39"/>
    <mergeCell ref="L40:Q40"/>
    <mergeCell ref="L41:Q41"/>
    <mergeCell ref="L28:Q28"/>
    <mergeCell ref="L29:Q29"/>
    <mergeCell ref="K3:P3"/>
    <mergeCell ref="L9:Q9"/>
    <mergeCell ref="L66:Q66"/>
    <mergeCell ref="L67:Q67"/>
    <mergeCell ref="L68:Q68"/>
    <mergeCell ref="L69:Q69"/>
    <mergeCell ref="L70:Q70"/>
    <mergeCell ref="L71:Q71"/>
    <mergeCell ref="L72:Q72"/>
    <mergeCell ref="L73:Q73"/>
    <mergeCell ref="L74:Q74"/>
    <mergeCell ref="K16:L16"/>
    <mergeCell ref="M16:N16"/>
    <mergeCell ref="K27:Q27"/>
    <mergeCell ref="L30:Q30"/>
    <mergeCell ref="L31:Q31"/>
    <mergeCell ref="L105:Q105"/>
    <mergeCell ref="K98:Q98"/>
    <mergeCell ref="L99:Q99"/>
    <mergeCell ref="L100:Q100"/>
    <mergeCell ref="L101:Q101"/>
    <mergeCell ref="K102:Q102"/>
    <mergeCell ref="K103:Q103"/>
    <mergeCell ref="K104:Q104"/>
    <mergeCell ref="L83:Q83"/>
    <mergeCell ref="L84:Q84"/>
    <mergeCell ref="L85:Q85"/>
    <mergeCell ref="L86:Q86"/>
    <mergeCell ref="L87:Q87"/>
    <mergeCell ref="L88:Q88"/>
    <mergeCell ref="L89:Q89"/>
    <mergeCell ref="K90:Q90"/>
    <mergeCell ref="K150:Q150"/>
    <mergeCell ref="L127:Q127"/>
    <mergeCell ref="L123:Q123"/>
    <mergeCell ref="L125:Q125"/>
    <mergeCell ref="K126:Q126"/>
    <mergeCell ref="K128:Q128"/>
    <mergeCell ref="L106:Q106"/>
    <mergeCell ref="L107:Q107"/>
    <mergeCell ref="L108:Q108"/>
    <mergeCell ref="L109:Q109"/>
    <mergeCell ref="L110:Q110"/>
    <mergeCell ref="L111:Q111"/>
    <mergeCell ref="K112:Q112"/>
    <mergeCell ref="K113:Q113"/>
    <mergeCell ref="K114:Q114"/>
    <mergeCell ref="L32:Q32"/>
    <mergeCell ref="K37:Q37"/>
    <mergeCell ref="L42:Q42"/>
    <mergeCell ref="L151:Q151"/>
    <mergeCell ref="K139:Q139"/>
    <mergeCell ref="K140:Q140"/>
    <mergeCell ref="L130:Q130"/>
    <mergeCell ref="L131:Q131"/>
    <mergeCell ref="K132:Q132"/>
    <mergeCell ref="K134:Q134"/>
    <mergeCell ref="L135:Q135"/>
    <mergeCell ref="L136:Q136"/>
    <mergeCell ref="L137:Q137"/>
    <mergeCell ref="K138:Q138"/>
    <mergeCell ref="L119:Q119"/>
    <mergeCell ref="L120:Q120"/>
    <mergeCell ref="L121:Q121"/>
    <mergeCell ref="L122:Q122"/>
    <mergeCell ref="L124:Q124"/>
    <mergeCell ref="L43:Q43"/>
    <mergeCell ref="L44:Q44"/>
    <mergeCell ref="K45:Q45"/>
    <mergeCell ref="K50:Q50"/>
    <mergeCell ref="L51:Q51"/>
    <mergeCell ref="K1:Q1"/>
    <mergeCell ref="K4:P4"/>
    <mergeCell ref="K6:P6"/>
    <mergeCell ref="K8:Q8"/>
    <mergeCell ref="L10:Q10"/>
    <mergeCell ref="L11:Q11"/>
    <mergeCell ref="L12:Q12"/>
    <mergeCell ref="K14:Q14"/>
    <mergeCell ref="K15:L15"/>
    <mergeCell ref="M15:N15"/>
    <mergeCell ref="O15:Q15"/>
    <mergeCell ref="L53:Q53"/>
    <mergeCell ref="K54:Q54"/>
    <mergeCell ref="L55:Q55"/>
    <mergeCell ref="K56:Q56"/>
    <mergeCell ref="K164:Q164"/>
    <mergeCell ref="L169:Q169"/>
    <mergeCell ref="L170:Q170"/>
    <mergeCell ref="L171:Q171"/>
    <mergeCell ref="K172:Q172"/>
    <mergeCell ref="L165:Q165"/>
    <mergeCell ref="L152:Q152"/>
    <mergeCell ref="L153:Q153"/>
    <mergeCell ref="L154:Q154"/>
    <mergeCell ref="L155:Q155"/>
    <mergeCell ref="L156:Q156"/>
    <mergeCell ref="L157:Q157"/>
    <mergeCell ref="K158:Q158"/>
    <mergeCell ref="K163:Q163"/>
    <mergeCell ref="L141:Q141"/>
    <mergeCell ref="L142:Q142"/>
    <mergeCell ref="L143:Q143"/>
    <mergeCell ref="L144:Q144"/>
    <mergeCell ref="L145:Q145"/>
    <mergeCell ref="K146:Q146"/>
    <mergeCell ref="Z175:AA175"/>
    <mergeCell ref="H175:I175"/>
    <mergeCell ref="A174:G174"/>
    <mergeCell ref="A175:G175"/>
    <mergeCell ref="L166:Q166"/>
    <mergeCell ref="L167:Q167"/>
    <mergeCell ref="L168:Q168"/>
    <mergeCell ref="T171:Z171"/>
    <mergeCell ref="S172:Z172"/>
    <mergeCell ref="X174:Y174"/>
    <mergeCell ref="B169:H169"/>
    <mergeCell ref="B170:H170"/>
    <mergeCell ref="B166:H166"/>
    <mergeCell ref="B167:H167"/>
    <mergeCell ref="B171:H171"/>
    <mergeCell ref="A172:H172"/>
  </mergeCells>
  <phoneticPr fontId="3" type="noConversion"/>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8AB4C7-1525-49C9-8594-B2CFDE065F6C}">
  <sheetPr>
    <tabColor rgb="FF00B0F0"/>
  </sheetPr>
  <dimension ref="A1:M183"/>
  <sheetViews>
    <sheetView topLeftCell="A142" zoomScale="85" zoomScaleNormal="85" workbookViewId="0">
      <selection activeCell="E24" sqref="E24"/>
    </sheetView>
  </sheetViews>
  <sheetFormatPr defaultRowHeight="12.5" outlineLevelRow="1" x14ac:dyDescent="0.25"/>
  <cols>
    <col min="1" max="1" width="7.7265625" customWidth="1"/>
    <col min="2" max="2" width="15.26953125" customWidth="1"/>
    <col min="4" max="4" width="20.54296875" customWidth="1"/>
    <col min="5" max="5" width="17.7265625" customWidth="1"/>
    <col min="6" max="6" width="12.81640625" customWidth="1"/>
    <col min="7" max="7" width="15.7265625" customWidth="1"/>
    <col min="8" max="8" width="11.81640625" customWidth="1"/>
    <col min="9" max="9" width="17.54296875" customWidth="1"/>
    <col min="10" max="10" width="5" customWidth="1"/>
    <col min="11" max="11" width="26.26953125" customWidth="1"/>
    <col min="12" max="12" width="15.81640625" customWidth="1"/>
    <col min="13" max="13" width="9.54296875" bestFit="1" customWidth="1"/>
  </cols>
  <sheetData>
    <row r="1" spans="1:9" ht="13.5" thickBot="1" x14ac:dyDescent="0.35">
      <c r="A1" s="487" t="s">
        <v>33</v>
      </c>
      <c r="B1" s="488"/>
      <c r="C1" s="488"/>
      <c r="D1" s="488"/>
      <c r="E1" s="488"/>
      <c r="F1" s="488"/>
      <c r="G1" s="488"/>
      <c r="H1" s="488"/>
      <c r="I1" s="527"/>
    </row>
    <row r="2" spans="1:9" x14ac:dyDescent="0.25">
      <c r="A2" s="251"/>
      <c r="B2" s="251"/>
      <c r="C2" s="251"/>
      <c r="D2" s="251"/>
      <c r="E2" s="251"/>
      <c r="F2" s="251"/>
      <c r="G2" s="251"/>
      <c r="H2" s="251"/>
      <c r="I2" s="251"/>
    </row>
    <row r="3" spans="1:9" ht="15" customHeight="1" x14ac:dyDescent="0.25">
      <c r="A3" s="564" t="s">
        <v>35</v>
      </c>
      <c r="B3" s="490"/>
      <c r="C3" s="490"/>
      <c r="D3" s="490"/>
      <c r="E3" s="490"/>
      <c r="F3" s="490"/>
      <c r="G3" s="251"/>
      <c r="H3" s="251"/>
      <c r="I3" s="251"/>
    </row>
    <row r="4" spans="1:9" ht="15" customHeight="1" x14ac:dyDescent="0.25">
      <c r="A4" s="490" t="s">
        <v>37</v>
      </c>
      <c r="B4" s="490"/>
      <c r="C4" s="490"/>
      <c r="D4" s="490"/>
      <c r="E4" s="490"/>
      <c r="F4" s="490"/>
      <c r="G4" s="251"/>
      <c r="H4" s="251"/>
      <c r="I4" s="251"/>
    </row>
    <row r="5" spans="1:9" ht="13" x14ac:dyDescent="0.3">
      <c r="A5" s="10"/>
      <c r="B5" s="10"/>
      <c r="C5" s="10"/>
      <c r="D5" s="10"/>
      <c r="E5" s="10"/>
      <c r="F5" s="10"/>
      <c r="G5" s="10"/>
      <c r="H5" s="10"/>
      <c r="I5" s="10"/>
    </row>
    <row r="6" spans="1:9" ht="13" x14ac:dyDescent="0.3">
      <c r="A6" s="490" t="s">
        <v>38</v>
      </c>
      <c r="B6" s="490"/>
      <c r="C6" s="490"/>
      <c r="D6" s="490"/>
      <c r="E6" s="490"/>
      <c r="F6" s="490"/>
      <c r="G6" s="10"/>
      <c r="H6" s="10"/>
      <c r="I6" s="10"/>
    </row>
    <row r="7" spans="1:9" x14ac:dyDescent="0.25">
      <c r="A7" s="252"/>
      <c r="B7" s="252"/>
      <c r="C7" s="252"/>
      <c r="D7" s="252"/>
      <c r="E7" s="252"/>
      <c r="F7" s="252"/>
      <c r="G7" s="252"/>
      <c r="H7" s="252"/>
      <c r="I7" s="252"/>
    </row>
    <row r="8" spans="1:9" ht="13" x14ac:dyDescent="0.3">
      <c r="A8" s="480" t="s">
        <v>39</v>
      </c>
      <c r="B8" s="480"/>
      <c r="C8" s="480"/>
      <c r="D8" s="480"/>
      <c r="E8" s="480"/>
      <c r="F8" s="480"/>
      <c r="G8" s="480"/>
      <c r="H8" s="480"/>
      <c r="I8" s="480"/>
    </row>
    <row r="9" spans="1:9" x14ac:dyDescent="0.25">
      <c r="A9" s="253" t="s">
        <v>40</v>
      </c>
      <c r="B9" s="478" t="s">
        <v>41</v>
      </c>
      <c r="C9" s="472"/>
      <c r="D9" s="472"/>
      <c r="E9" s="472"/>
      <c r="F9" s="472"/>
      <c r="G9" s="472"/>
      <c r="H9" s="472"/>
      <c r="I9" s="325"/>
    </row>
    <row r="10" spans="1:9" x14ac:dyDescent="0.25">
      <c r="A10" s="253" t="s">
        <v>42</v>
      </c>
      <c r="B10" s="478" t="s">
        <v>43</v>
      </c>
      <c r="C10" s="472"/>
      <c r="D10" s="472"/>
      <c r="E10" s="472"/>
      <c r="F10" s="472"/>
      <c r="G10" s="472"/>
      <c r="H10" s="472"/>
      <c r="I10" s="326" t="s">
        <v>44</v>
      </c>
    </row>
    <row r="11" spans="1:9" x14ac:dyDescent="0.25">
      <c r="A11" s="253" t="s">
        <v>45</v>
      </c>
      <c r="B11" s="478" t="s">
        <v>46</v>
      </c>
      <c r="C11" s="478"/>
      <c r="D11" s="478"/>
      <c r="E11" s="478"/>
      <c r="F11" s="478"/>
      <c r="G11" s="478"/>
      <c r="H11" s="478"/>
      <c r="I11" s="326" t="s">
        <v>230</v>
      </c>
    </row>
    <row r="12" spans="1:9" x14ac:dyDescent="0.25">
      <c r="A12" s="253" t="s">
        <v>48</v>
      </c>
      <c r="B12" s="478" t="s">
        <v>49</v>
      </c>
      <c r="C12" s="472"/>
      <c r="D12" s="472"/>
      <c r="E12" s="472"/>
      <c r="F12" s="472"/>
      <c r="G12" s="472"/>
      <c r="H12" s="472"/>
      <c r="I12" s="327">
        <v>60</v>
      </c>
    </row>
    <row r="13" spans="1:9" x14ac:dyDescent="0.25">
      <c r="A13" s="251"/>
      <c r="B13" s="252"/>
      <c r="C13" s="252"/>
      <c r="D13" s="252"/>
      <c r="E13" s="252"/>
      <c r="F13" s="252"/>
      <c r="G13" s="252"/>
      <c r="H13" s="251"/>
      <c r="I13" s="251"/>
    </row>
    <row r="14" spans="1:9" ht="13" x14ac:dyDescent="0.3">
      <c r="A14" s="480" t="s">
        <v>50</v>
      </c>
      <c r="B14" s="480"/>
      <c r="C14" s="480"/>
      <c r="D14" s="480"/>
      <c r="E14" s="480"/>
      <c r="F14" s="480"/>
      <c r="G14" s="480"/>
      <c r="H14" s="480"/>
      <c r="I14" s="480"/>
    </row>
    <row r="15" spans="1:9" ht="13" x14ac:dyDescent="0.3">
      <c r="A15" s="477" t="s">
        <v>51</v>
      </c>
      <c r="B15" s="477"/>
      <c r="C15" s="477" t="s">
        <v>52</v>
      </c>
      <c r="D15" s="477"/>
      <c r="E15" s="477" t="s">
        <v>53</v>
      </c>
      <c r="F15" s="477"/>
      <c r="G15" s="477"/>
      <c r="H15" s="477"/>
      <c r="I15" s="477"/>
    </row>
    <row r="16" spans="1:9" s="50" customFormat="1" ht="25.5" customHeight="1" x14ac:dyDescent="0.25">
      <c r="A16" s="522" t="s">
        <v>562</v>
      </c>
      <c r="B16" s="521"/>
      <c r="C16" s="522"/>
      <c r="D16" s="521"/>
      <c r="E16" s="565">
        <v>1</v>
      </c>
      <c r="F16" s="566"/>
      <c r="G16" s="566"/>
      <c r="H16" s="566"/>
      <c r="I16" s="567"/>
    </row>
    <row r="17" spans="1:9" ht="15" customHeight="1" x14ac:dyDescent="0.25">
      <c r="A17" s="39"/>
      <c r="B17" s="255"/>
      <c r="C17" s="40"/>
      <c r="D17" s="256"/>
      <c r="E17" s="41"/>
      <c r="F17" s="257"/>
      <c r="G17" s="257"/>
      <c r="H17" s="257"/>
      <c r="I17" s="257"/>
    </row>
    <row r="18" spans="1:9" ht="15" customHeight="1" x14ac:dyDescent="0.25">
      <c r="A18" s="37" t="s">
        <v>55</v>
      </c>
      <c r="B18" s="255"/>
      <c r="C18" s="40"/>
      <c r="D18" s="256"/>
      <c r="E18" s="41"/>
      <c r="F18" s="257"/>
      <c r="G18" s="257"/>
      <c r="H18" s="257"/>
      <c r="I18" s="257"/>
    </row>
    <row r="19" spans="1:9" ht="15" customHeight="1" x14ac:dyDescent="0.25">
      <c r="A19" s="37" t="s">
        <v>56</v>
      </c>
      <c r="B19" s="255"/>
      <c r="C19" s="40"/>
      <c r="D19" s="256"/>
      <c r="E19" s="41"/>
      <c r="F19" s="257"/>
      <c r="G19" s="257"/>
      <c r="H19" s="257"/>
      <c r="I19" s="257"/>
    </row>
    <row r="20" spans="1:9" ht="15" customHeight="1" x14ac:dyDescent="0.25">
      <c r="A20" s="37" t="s">
        <v>57</v>
      </c>
      <c r="B20" s="255"/>
      <c r="C20" s="40"/>
      <c r="D20" s="256"/>
      <c r="E20" s="41"/>
      <c r="F20" s="257"/>
      <c r="G20" s="257"/>
      <c r="H20" s="257"/>
      <c r="I20" s="257"/>
    </row>
    <row r="21" spans="1:9" ht="15" customHeight="1" x14ac:dyDescent="0.25">
      <c r="A21" s="37" t="s">
        <v>58</v>
      </c>
      <c r="B21" s="255"/>
      <c r="C21" s="40"/>
      <c r="D21" s="256"/>
      <c r="E21" s="41"/>
      <c r="F21" s="257"/>
      <c r="G21" s="257"/>
      <c r="H21" s="257"/>
      <c r="I21" s="257"/>
    </row>
    <row r="22" spans="1:9" ht="15" customHeight="1" x14ac:dyDescent="0.25">
      <c r="A22" s="55"/>
      <c r="B22" s="255"/>
      <c r="C22" s="40"/>
      <c r="D22" s="256"/>
      <c r="E22" s="41"/>
      <c r="F22" s="257"/>
      <c r="G22" s="257"/>
      <c r="H22" s="257"/>
      <c r="I22" s="257"/>
    </row>
    <row r="23" spans="1:9" ht="15" customHeight="1" x14ac:dyDescent="0.25">
      <c r="A23" s="38" t="s">
        <v>59</v>
      </c>
      <c r="B23" s="255"/>
      <c r="C23" s="40"/>
      <c r="D23" s="256"/>
      <c r="E23" s="41"/>
      <c r="F23" s="257"/>
      <c r="G23" s="257"/>
      <c r="H23" s="257"/>
      <c r="I23" s="257"/>
    </row>
    <row r="24" spans="1:9" ht="15" customHeight="1" x14ac:dyDescent="0.25">
      <c r="A24" s="39"/>
      <c r="B24" s="255"/>
      <c r="C24" s="40"/>
      <c r="D24" s="256"/>
      <c r="E24" s="41"/>
      <c r="F24" s="257"/>
      <c r="G24" s="257"/>
      <c r="H24" s="257"/>
      <c r="I24" s="257"/>
    </row>
    <row r="25" spans="1:9" ht="15" customHeight="1" x14ac:dyDescent="0.25">
      <c r="A25" s="38" t="s">
        <v>60</v>
      </c>
      <c r="B25" s="255"/>
      <c r="C25" s="40"/>
      <c r="D25" s="256"/>
      <c r="E25" s="41"/>
      <c r="F25" s="257"/>
      <c r="G25" s="257"/>
      <c r="H25" s="257"/>
      <c r="I25" s="257"/>
    </row>
    <row r="26" spans="1:9" ht="15" customHeight="1" x14ac:dyDescent="0.25">
      <c r="A26" s="37" t="s">
        <v>61</v>
      </c>
      <c r="B26" s="255"/>
      <c r="C26" s="40"/>
      <c r="D26" s="256"/>
      <c r="E26" s="41"/>
      <c r="F26" s="257"/>
      <c r="G26" s="257"/>
      <c r="H26" s="257"/>
      <c r="I26" s="257"/>
    </row>
    <row r="27" spans="1:9" ht="13" x14ac:dyDescent="0.3">
      <c r="A27" s="480" t="s">
        <v>62</v>
      </c>
      <c r="B27" s="480"/>
      <c r="C27" s="480"/>
      <c r="D27" s="480"/>
      <c r="E27" s="480"/>
      <c r="F27" s="480"/>
      <c r="G27" s="480"/>
      <c r="H27" s="480"/>
      <c r="I27" s="480"/>
    </row>
    <row r="28" spans="1:9" x14ac:dyDescent="0.25">
      <c r="A28" s="254">
        <v>1</v>
      </c>
      <c r="B28" s="516" t="s">
        <v>63</v>
      </c>
      <c r="C28" s="516"/>
      <c r="D28" s="516"/>
      <c r="E28" s="516"/>
      <c r="F28" s="516"/>
      <c r="G28" s="516"/>
      <c r="H28" s="516"/>
      <c r="I28" s="337" t="str">
        <f>A16</f>
        <v>Controle de pragas</v>
      </c>
    </row>
    <row r="29" spans="1:9" x14ac:dyDescent="0.25">
      <c r="A29" s="253">
        <v>2</v>
      </c>
      <c r="B29" s="478" t="s">
        <v>64</v>
      </c>
      <c r="C29" s="478"/>
      <c r="D29" s="478"/>
      <c r="E29" s="478"/>
      <c r="F29" s="478"/>
      <c r="G29" s="478"/>
      <c r="H29" s="478"/>
      <c r="I29" s="338" t="s">
        <v>65</v>
      </c>
    </row>
    <row r="30" spans="1:9" x14ac:dyDescent="0.25">
      <c r="A30" s="253">
        <v>3</v>
      </c>
      <c r="B30" s="472" t="s">
        <v>67</v>
      </c>
      <c r="C30" s="472"/>
      <c r="D30" s="472"/>
      <c r="E30" s="472"/>
      <c r="F30" s="472"/>
      <c r="G30" s="472"/>
      <c r="H30" s="472"/>
      <c r="I30" s="339">
        <v>1743.69</v>
      </c>
    </row>
    <row r="31" spans="1:9" x14ac:dyDescent="0.25">
      <c r="A31" s="254">
        <v>4</v>
      </c>
      <c r="B31" s="516" t="s">
        <v>68</v>
      </c>
      <c r="C31" s="516"/>
      <c r="D31" s="516"/>
      <c r="E31" s="516"/>
      <c r="F31" s="516"/>
      <c r="G31" s="516"/>
      <c r="H31" s="516"/>
      <c r="I31" s="340" t="s">
        <v>69</v>
      </c>
    </row>
    <row r="32" spans="1:9" x14ac:dyDescent="0.25">
      <c r="A32" s="253">
        <v>5</v>
      </c>
      <c r="B32" s="478" t="s">
        <v>71</v>
      </c>
      <c r="C32" s="472"/>
      <c r="D32" s="472"/>
      <c r="E32" s="472"/>
      <c r="F32" s="472"/>
      <c r="G32" s="472"/>
      <c r="H32" s="472"/>
      <c r="I32" s="325">
        <v>45686</v>
      </c>
    </row>
    <row r="33" spans="1:10" x14ac:dyDescent="0.25">
      <c r="A33" s="251"/>
      <c r="B33" s="252"/>
      <c r="C33" s="252"/>
      <c r="D33" s="252"/>
      <c r="E33" s="252"/>
      <c r="F33" s="252"/>
      <c r="G33" s="252"/>
      <c r="H33" s="252"/>
      <c r="I33" s="258"/>
    </row>
    <row r="34" spans="1:10" ht="13" x14ac:dyDescent="0.25">
      <c r="A34" s="37" t="s">
        <v>72</v>
      </c>
      <c r="B34" s="252"/>
      <c r="C34" s="252"/>
      <c r="D34" s="252"/>
      <c r="E34" s="252"/>
      <c r="F34" s="252"/>
      <c r="G34" s="252"/>
      <c r="H34" s="252"/>
      <c r="I34" s="258"/>
    </row>
    <row r="35" spans="1:10" ht="13" x14ac:dyDescent="0.25">
      <c r="A35" s="37" t="s">
        <v>73</v>
      </c>
      <c r="B35" s="252"/>
      <c r="C35" s="252"/>
      <c r="D35" s="252"/>
      <c r="E35" s="252"/>
      <c r="F35" s="252"/>
      <c r="G35" s="252"/>
      <c r="H35" s="252"/>
      <c r="I35" s="258"/>
    </row>
    <row r="37" spans="1:10" ht="13" x14ac:dyDescent="0.3">
      <c r="A37" s="492" t="s">
        <v>74</v>
      </c>
      <c r="B37" s="492"/>
      <c r="C37" s="492"/>
      <c r="D37" s="492"/>
      <c r="E37" s="492"/>
      <c r="F37" s="492"/>
      <c r="G37" s="492"/>
      <c r="H37" s="492"/>
      <c r="I37" s="492"/>
    </row>
    <row r="38" spans="1:10" ht="13" x14ac:dyDescent="0.3">
      <c r="A38" s="8">
        <v>1</v>
      </c>
      <c r="B38" s="477" t="s">
        <v>75</v>
      </c>
      <c r="C38" s="477"/>
      <c r="D38" s="477"/>
      <c r="E38" s="477"/>
      <c r="F38" s="477"/>
      <c r="G38" s="477"/>
      <c r="H38" s="8" t="s">
        <v>76</v>
      </c>
      <c r="I38" s="8" t="s">
        <v>77</v>
      </c>
    </row>
    <row r="39" spans="1:10" ht="13" x14ac:dyDescent="0.3">
      <c r="A39" s="8" t="s">
        <v>40</v>
      </c>
      <c r="B39" s="478" t="s">
        <v>78</v>
      </c>
      <c r="C39" s="478"/>
      <c r="D39" s="478"/>
      <c r="E39" s="478"/>
      <c r="F39" s="478"/>
      <c r="G39" s="478"/>
      <c r="H39" s="22"/>
      <c r="I39" s="164">
        <f>I30</f>
        <v>1743.69</v>
      </c>
    </row>
    <row r="40" spans="1:10" ht="13" x14ac:dyDescent="0.3">
      <c r="A40" s="8" t="s">
        <v>42</v>
      </c>
      <c r="B40" s="478" t="s">
        <v>79</v>
      </c>
      <c r="C40" s="478"/>
      <c r="D40" s="478"/>
      <c r="E40" s="478"/>
      <c r="F40" s="478"/>
      <c r="G40" s="478"/>
      <c r="H40" s="2"/>
      <c r="I40" s="164">
        <f>I39*H40</f>
        <v>0</v>
      </c>
      <c r="J40" s="32" t="s">
        <v>80</v>
      </c>
    </row>
    <row r="41" spans="1:10" ht="13" x14ac:dyDescent="0.3">
      <c r="A41" s="8" t="s">
        <v>45</v>
      </c>
      <c r="B41" s="478" t="s">
        <v>81</v>
      </c>
      <c r="C41" s="478"/>
      <c r="D41" s="478"/>
      <c r="E41" s="478"/>
      <c r="F41" s="478"/>
      <c r="G41" s="478"/>
      <c r="H41" s="2"/>
      <c r="I41" s="164">
        <f>H41*I39</f>
        <v>0</v>
      </c>
    </row>
    <row r="42" spans="1:10" ht="13" x14ac:dyDescent="0.3">
      <c r="A42" s="8" t="s">
        <v>48</v>
      </c>
      <c r="B42" s="478" t="s">
        <v>82</v>
      </c>
      <c r="C42" s="478"/>
      <c r="D42" s="478"/>
      <c r="E42" s="478"/>
      <c r="F42" s="478"/>
      <c r="G42" s="478"/>
      <c r="H42" s="2"/>
      <c r="I42" s="164">
        <v>0</v>
      </c>
      <c r="J42" s="32" t="s">
        <v>83</v>
      </c>
    </row>
    <row r="43" spans="1:10" ht="13" x14ac:dyDescent="0.3">
      <c r="A43" s="8" t="s">
        <v>84</v>
      </c>
      <c r="B43" s="478" t="s">
        <v>85</v>
      </c>
      <c r="C43" s="478"/>
      <c r="D43" s="478"/>
      <c r="E43" s="478"/>
      <c r="F43" s="478"/>
      <c r="G43" s="478"/>
      <c r="H43" s="5"/>
      <c r="I43" s="164">
        <v>0</v>
      </c>
      <c r="J43" s="32" t="s">
        <v>83</v>
      </c>
    </row>
    <row r="44" spans="1:10" ht="13" x14ac:dyDescent="0.3">
      <c r="A44" s="8" t="s">
        <v>86</v>
      </c>
      <c r="B44" s="478" t="s">
        <v>87</v>
      </c>
      <c r="C44" s="478"/>
      <c r="D44" s="478"/>
      <c r="E44" s="478"/>
      <c r="F44" s="478"/>
      <c r="G44" s="478"/>
      <c r="H44" s="2"/>
      <c r="I44" s="164">
        <v>0</v>
      </c>
    </row>
    <row r="45" spans="1:10" ht="13" x14ac:dyDescent="0.3">
      <c r="A45" s="485" t="s">
        <v>88</v>
      </c>
      <c r="B45" s="480"/>
      <c r="C45" s="480"/>
      <c r="D45" s="480"/>
      <c r="E45" s="480"/>
      <c r="F45" s="480"/>
      <c r="G45" s="480"/>
      <c r="H45" s="480"/>
      <c r="I45" s="165">
        <f>SUM(I39:I44)</f>
        <v>1743.69</v>
      </c>
    </row>
    <row r="46" spans="1:10" s="10" customFormat="1" ht="13" x14ac:dyDescent="0.3"/>
    <row r="47" spans="1:10" s="10" customFormat="1" ht="13" x14ac:dyDescent="0.3">
      <c r="A47" s="37" t="s">
        <v>89</v>
      </c>
    </row>
    <row r="48" spans="1:10" s="10" customFormat="1" ht="13" x14ac:dyDescent="0.3">
      <c r="A48" s="37" t="s">
        <v>90</v>
      </c>
    </row>
    <row r="49" spans="1:11" ht="13" x14ac:dyDescent="0.3">
      <c r="A49" s="3"/>
      <c r="B49" s="3"/>
      <c r="C49" s="3"/>
      <c r="D49" s="3"/>
      <c r="E49" s="3"/>
      <c r="F49" s="3"/>
      <c r="G49" s="3"/>
      <c r="H49" s="3"/>
      <c r="I49" s="4"/>
    </row>
    <row r="50" spans="1:11" ht="13" x14ac:dyDescent="0.3">
      <c r="A50" s="492" t="s">
        <v>91</v>
      </c>
      <c r="B50" s="492"/>
      <c r="C50" s="492"/>
      <c r="D50" s="492"/>
      <c r="E50" s="492"/>
      <c r="F50" s="492"/>
      <c r="G50" s="492"/>
      <c r="H50" s="492"/>
      <c r="I50" s="492"/>
    </row>
    <row r="51" spans="1:11" ht="13" x14ac:dyDescent="0.3">
      <c r="A51" s="47" t="s">
        <v>92</v>
      </c>
      <c r="B51" s="508" t="s">
        <v>93</v>
      </c>
      <c r="C51" s="509"/>
      <c r="D51" s="509"/>
      <c r="E51" s="509"/>
      <c r="F51" s="509"/>
      <c r="G51" s="510"/>
      <c r="H51" s="8" t="s">
        <v>76</v>
      </c>
      <c r="I51" s="8" t="s">
        <v>77</v>
      </c>
    </row>
    <row r="52" spans="1:11" ht="13" x14ac:dyDescent="0.3">
      <c r="A52" s="8" t="s">
        <v>40</v>
      </c>
      <c r="B52" s="478" t="s">
        <v>94</v>
      </c>
      <c r="C52" s="478"/>
      <c r="D52" s="478"/>
      <c r="E52" s="478"/>
      <c r="F52" s="478"/>
      <c r="G52" s="478"/>
      <c r="H52" s="1">
        <f>1/12</f>
        <v>8.3333333333333329E-2</v>
      </c>
      <c r="I52" s="25">
        <f>$I$45*H52</f>
        <v>145.3075</v>
      </c>
      <c r="K52" s="87"/>
    </row>
    <row r="53" spans="1:11" ht="13" x14ac:dyDescent="0.3">
      <c r="A53" s="8" t="s">
        <v>42</v>
      </c>
      <c r="B53" s="478" t="s">
        <v>95</v>
      </c>
      <c r="C53" s="478"/>
      <c r="D53" s="478"/>
      <c r="E53" s="478"/>
      <c r="F53" s="478"/>
      <c r="G53" s="478"/>
      <c r="H53" s="24">
        <v>0.121</v>
      </c>
      <c r="I53" s="25">
        <f>$I$45*H53</f>
        <v>210.98649</v>
      </c>
    </row>
    <row r="54" spans="1:11" ht="13" x14ac:dyDescent="0.3">
      <c r="A54" s="480" t="s">
        <v>96</v>
      </c>
      <c r="B54" s="480"/>
      <c r="C54" s="480"/>
      <c r="D54" s="480"/>
      <c r="E54" s="480"/>
      <c r="F54" s="480"/>
      <c r="G54" s="480"/>
      <c r="H54" s="42">
        <f>TRUNC(SUM(H52:H53),4)</f>
        <v>0.20430000000000001</v>
      </c>
      <c r="I54" s="43">
        <f>SUM(I52:I53)</f>
        <v>356.29399000000001</v>
      </c>
    </row>
    <row r="55" spans="1:11" ht="22" customHeight="1" x14ac:dyDescent="0.25">
      <c r="A55" s="47" t="s">
        <v>45</v>
      </c>
      <c r="B55" s="481" t="s">
        <v>97</v>
      </c>
      <c r="C55" s="481"/>
      <c r="D55" s="481"/>
      <c r="E55" s="481"/>
      <c r="F55" s="481"/>
      <c r="G55" s="481"/>
      <c r="H55" s="160">
        <f>H54*H75</f>
        <v>7.518240000000001E-2</v>
      </c>
      <c r="I55" s="161">
        <f>$I$45*H55</f>
        <v>131.09479905600003</v>
      </c>
    </row>
    <row r="56" spans="1:11" ht="13" x14ac:dyDescent="0.3">
      <c r="A56" s="480" t="s">
        <v>98</v>
      </c>
      <c r="B56" s="480"/>
      <c r="C56" s="480"/>
      <c r="D56" s="480"/>
      <c r="E56" s="480"/>
      <c r="F56" s="480"/>
      <c r="G56" s="480"/>
      <c r="H56" s="42">
        <f>TRUNC(SUM(H54:H55),4)</f>
        <v>0.27939999999999998</v>
      </c>
      <c r="I56" s="43">
        <f>SUM(I54:I55)</f>
        <v>487.38878905600006</v>
      </c>
    </row>
    <row r="57" spans="1:11" ht="13" x14ac:dyDescent="0.3">
      <c r="A57" s="3"/>
      <c r="B57" s="3"/>
      <c r="C57" s="3"/>
      <c r="D57" s="3"/>
      <c r="E57" s="3"/>
      <c r="F57" s="3"/>
      <c r="G57" s="3"/>
      <c r="H57" s="44"/>
      <c r="I57" s="4"/>
    </row>
    <row r="58" spans="1:11" ht="13" x14ac:dyDescent="0.3">
      <c r="A58" s="37" t="s">
        <v>99</v>
      </c>
      <c r="B58" s="3"/>
      <c r="C58" s="3"/>
      <c r="D58" s="3"/>
      <c r="E58" s="3"/>
      <c r="F58" s="3"/>
      <c r="G58" s="3"/>
      <c r="H58" s="44"/>
      <c r="I58" s="4"/>
    </row>
    <row r="59" spans="1:11" ht="13" x14ac:dyDescent="0.3">
      <c r="A59" s="37" t="s">
        <v>100</v>
      </c>
      <c r="B59" s="3"/>
      <c r="C59" s="3"/>
      <c r="D59" s="3"/>
      <c r="E59" s="3"/>
      <c r="F59" s="3"/>
      <c r="G59" s="3"/>
      <c r="H59" s="44"/>
      <c r="I59" s="4"/>
    </row>
    <row r="60" spans="1:11" ht="13" x14ac:dyDescent="0.3">
      <c r="A60" s="37" t="s">
        <v>101</v>
      </c>
      <c r="B60" s="3"/>
      <c r="C60" s="3"/>
      <c r="D60" s="3"/>
      <c r="E60" s="3"/>
      <c r="F60" s="3"/>
      <c r="G60" s="3"/>
      <c r="H60" s="44"/>
      <c r="I60" s="4"/>
    </row>
    <row r="61" spans="1:11" ht="13" x14ac:dyDescent="0.3">
      <c r="A61" s="37" t="s">
        <v>102</v>
      </c>
      <c r="B61" s="10"/>
      <c r="C61" s="10"/>
      <c r="D61" s="10"/>
      <c r="E61" s="10"/>
      <c r="F61" s="10"/>
      <c r="G61" s="10"/>
      <c r="H61" s="10"/>
      <c r="I61" s="10"/>
    </row>
    <row r="62" spans="1:11" ht="13" x14ac:dyDescent="0.3">
      <c r="A62" s="37" t="s">
        <v>103</v>
      </c>
      <c r="B62" s="10"/>
      <c r="C62" s="10"/>
      <c r="D62" s="10"/>
      <c r="E62" s="10"/>
      <c r="F62" s="10"/>
      <c r="G62" s="10"/>
      <c r="H62" s="10"/>
      <c r="I62" s="10"/>
    </row>
    <row r="63" spans="1:11" ht="13" x14ac:dyDescent="0.3">
      <c r="A63" s="37"/>
      <c r="B63" s="10"/>
      <c r="C63" s="10"/>
      <c r="D63" s="10"/>
      <c r="E63" s="10"/>
      <c r="F63" s="10"/>
      <c r="G63" s="10"/>
      <c r="H63" s="10"/>
      <c r="I63" s="10"/>
    </row>
    <row r="64" spans="1:11" ht="13" x14ac:dyDescent="0.3">
      <c r="A64" s="37"/>
      <c r="B64" s="10"/>
      <c r="C64" s="10"/>
      <c r="D64" s="10"/>
      <c r="E64" s="10"/>
      <c r="F64" s="10"/>
      <c r="G64" s="10"/>
      <c r="H64" s="10"/>
      <c r="I64" s="10"/>
    </row>
    <row r="65" spans="1:12" ht="13" x14ac:dyDescent="0.3">
      <c r="A65" s="45"/>
      <c r="B65" s="45"/>
      <c r="C65" s="45"/>
      <c r="D65" s="45"/>
      <c r="E65" s="45"/>
      <c r="F65" s="45"/>
      <c r="G65" s="45"/>
      <c r="H65" s="45"/>
      <c r="I65" s="45"/>
    </row>
    <row r="66" spans="1:12" ht="13" x14ac:dyDescent="0.3">
      <c r="A66" s="49" t="s">
        <v>104</v>
      </c>
      <c r="B66" s="517" t="s">
        <v>105</v>
      </c>
      <c r="C66" s="518"/>
      <c r="D66" s="518"/>
      <c r="E66" s="518"/>
      <c r="F66" s="518"/>
      <c r="G66" s="519"/>
      <c r="H66" s="34" t="s">
        <v>76</v>
      </c>
      <c r="I66" s="34" t="s">
        <v>77</v>
      </c>
      <c r="K66" s="32"/>
      <c r="L66" s="31"/>
    </row>
    <row r="67" spans="1:12" ht="13" x14ac:dyDescent="0.3">
      <c r="A67" s="8" t="s">
        <v>40</v>
      </c>
      <c r="B67" s="478" t="s">
        <v>106</v>
      </c>
      <c r="C67" s="478"/>
      <c r="D67" s="478"/>
      <c r="E67" s="478"/>
      <c r="F67" s="478"/>
      <c r="G67" s="478"/>
      <c r="H67" s="1">
        <v>0.2</v>
      </c>
      <c r="I67" s="25">
        <f t="shared" ref="I67:I74" si="0">H67*($I$45)</f>
        <v>348.73800000000006</v>
      </c>
      <c r="K67" s="33"/>
      <c r="L67" s="31"/>
    </row>
    <row r="68" spans="1:12" ht="13" x14ac:dyDescent="0.3">
      <c r="A68" s="8" t="s">
        <v>42</v>
      </c>
      <c r="B68" s="478" t="s">
        <v>107</v>
      </c>
      <c r="C68" s="478"/>
      <c r="D68" s="478"/>
      <c r="E68" s="478"/>
      <c r="F68" s="478"/>
      <c r="G68" s="478"/>
      <c r="H68" s="1">
        <v>2.5000000000000001E-2</v>
      </c>
      <c r="I68" s="25">
        <f t="shared" si="0"/>
        <v>43.592250000000007</v>
      </c>
      <c r="K68" s="32"/>
    </row>
    <row r="69" spans="1:12" ht="13" x14ac:dyDescent="0.3">
      <c r="A69" s="8" t="s">
        <v>45</v>
      </c>
      <c r="B69" s="478" t="s">
        <v>108</v>
      </c>
      <c r="C69" s="478"/>
      <c r="D69" s="478"/>
      <c r="E69" s="478"/>
      <c r="F69" s="478"/>
      <c r="G69" s="478"/>
      <c r="H69" s="1">
        <v>0.03</v>
      </c>
      <c r="I69" s="25">
        <f t="shared" si="0"/>
        <v>52.310699999999997</v>
      </c>
      <c r="J69" s="32" t="s">
        <v>109</v>
      </c>
      <c r="K69" s="32"/>
    </row>
    <row r="70" spans="1:12" ht="13" x14ac:dyDescent="0.3">
      <c r="A70" s="8" t="s">
        <v>48</v>
      </c>
      <c r="B70" s="478" t="s">
        <v>110</v>
      </c>
      <c r="C70" s="478"/>
      <c r="D70" s="478"/>
      <c r="E70" s="478"/>
      <c r="F70" s="478"/>
      <c r="G70" s="478"/>
      <c r="H70" s="1">
        <v>1.4999999999999999E-2</v>
      </c>
      <c r="I70" s="25">
        <f t="shared" si="0"/>
        <v>26.155349999999999</v>
      </c>
    </row>
    <row r="71" spans="1:12" ht="13" x14ac:dyDescent="0.3">
      <c r="A71" s="8" t="s">
        <v>84</v>
      </c>
      <c r="B71" s="478" t="s">
        <v>111</v>
      </c>
      <c r="C71" s="478"/>
      <c r="D71" s="478"/>
      <c r="E71" s="478"/>
      <c r="F71" s="478"/>
      <c r="G71" s="478"/>
      <c r="H71" s="1">
        <v>0.01</v>
      </c>
      <c r="I71" s="25">
        <f t="shared" si="0"/>
        <v>17.436900000000001</v>
      </c>
    </row>
    <row r="72" spans="1:12" ht="13" x14ac:dyDescent="0.3">
      <c r="A72" s="8" t="s">
        <v>86</v>
      </c>
      <c r="B72" s="478" t="s">
        <v>112</v>
      </c>
      <c r="C72" s="478"/>
      <c r="D72" s="478"/>
      <c r="E72" s="478"/>
      <c r="F72" s="478"/>
      <c r="G72" s="478"/>
      <c r="H72" s="1">
        <v>6.0000000000000001E-3</v>
      </c>
      <c r="I72" s="25">
        <f t="shared" si="0"/>
        <v>10.46214</v>
      </c>
    </row>
    <row r="73" spans="1:12" ht="13" x14ac:dyDescent="0.3">
      <c r="A73" s="8" t="s">
        <v>113</v>
      </c>
      <c r="B73" s="478" t="s">
        <v>114</v>
      </c>
      <c r="C73" s="478"/>
      <c r="D73" s="478"/>
      <c r="E73" s="478"/>
      <c r="F73" s="478"/>
      <c r="G73" s="478"/>
      <c r="H73" s="1">
        <v>2E-3</v>
      </c>
      <c r="I73" s="25">
        <f t="shared" si="0"/>
        <v>3.4873800000000004</v>
      </c>
    </row>
    <row r="74" spans="1:12" ht="13" x14ac:dyDescent="0.3">
      <c r="A74" s="8" t="s">
        <v>115</v>
      </c>
      <c r="B74" s="478" t="s">
        <v>116</v>
      </c>
      <c r="C74" s="478"/>
      <c r="D74" s="478"/>
      <c r="E74" s="478"/>
      <c r="F74" s="478"/>
      <c r="G74" s="478"/>
      <c r="H74" s="1">
        <v>0.08</v>
      </c>
      <c r="I74" s="25">
        <f t="shared" si="0"/>
        <v>139.49520000000001</v>
      </c>
    </row>
    <row r="75" spans="1:12" ht="13" x14ac:dyDescent="0.3">
      <c r="A75" s="480" t="s">
        <v>11</v>
      </c>
      <c r="B75" s="480"/>
      <c r="C75" s="480"/>
      <c r="D75" s="480"/>
      <c r="E75" s="480"/>
      <c r="F75" s="480"/>
      <c r="G75" s="480"/>
      <c r="H75" s="42">
        <f>SUM(H67:H74)</f>
        <v>0.36800000000000005</v>
      </c>
      <c r="I75" s="43">
        <f>SUM(I67:I74)</f>
        <v>641.67792000000009</v>
      </c>
      <c r="K75" s="21"/>
    </row>
    <row r="76" spans="1:12" ht="13" x14ac:dyDescent="0.3">
      <c r="A76" s="3"/>
      <c r="B76" s="3"/>
      <c r="C76" s="3"/>
      <c r="D76" s="3"/>
      <c r="E76" s="3"/>
      <c r="F76" s="3"/>
      <c r="G76" s="3"/>
      <c r="H76" s="44"/>
      <c r="I76" s="4"/>
      <c r="K76" s="21"/>
    </row>
    <row r="77" spans="1:12" ht="13" x14ac:dyDescent="0.3">
      <c r="A77" s="37" t="s">
        <v>117</v>
      </c>
      <c r="B77" s="3"/>
      <c r="C77" s="3"/>
      <c r="D77" s="3"/>
      <c r="E77" s="3"/>
      <c r="F77" s="3"/>
      <c r="G77" s="3"/>
      <c r="H77" s="44"/>
      <c r="I77" s="4"/>
      <c r="K77" s="21"/>
    </row>
    <row r="78" spans="1:12" ht="13" x14ac:dyDescent="0.3">
      <c r="A78" s="37" t="s">
        <v>118</v>
      </c>
      <c r="B78" s="3"/>
      <c r="C78" s="3"/>
      <c r="D78" s="3"/>
      <c r="E78" s="3"/>
      <c r="F78" s="3"/>
      <c r="G78" s="3"/>
      <c r="H78" s="44"/>
      <c r="I78" s="4"/>
      <c r="K78" s="21"/>
    </row>
    <row r="79" spans="1:12" ht="13" x14ac:dyDescent="0.3">
      <c r="A79" s="37" t="s">
        <v>119</v>
      </c>
      <c r="B79" s="3"/>
      <c r="C79" s="3"/>
      <c r="D79" s="3"/>
      <c r="E79" s="3"/>
      <c r="F79" s="3"/>
      <c r="G79" s="3"/>
      <c r="H79" s="44"/>
      <c r="I79" s="4"/>
      <c r="K79" s="21"/>
    </row>
    <row r="80" spans="1:12" ht="13" x14ac:dyDescent="0.3">
      <c r="A80" s="37" t="s">
        <v>120</v>
      </c>
      <c r="B80" s="3"/>
      <c r="C80" s="3"/>
      <c r="D80" s="3"/>
      <c r="E80" s="3"/>
      <c r="F80" s="3"/>
      <c r="G80" s="3"/>
      <c r="H80" s="44"/>
      <c r="I80" s="4"/>
      <c r="K80" s="21"/>
    </row>
    <row r="81" spans="1:11" ht="13" x14ac:dyDescent="0.3">
      <c r="A81" s="37" t="s">
        <v>121</v>
      </c>
      <c r="B81" s="3"/>
      <c r="C81" s="3"/>
      <c r="D81" s="3"/>
      <c r="E81" s="3"/>
      <c r="F81" s="3"/>
      <c r="G81" s="3"/>
      <c r="H81" s="44"/>
      <c r="I81" s="4"/>
      <c r="K81" s="21"/>
    </row>
    <row r="82" spans="1:11" ht="13" x14ac:dyDescent="0.3">
      <c r="A82" s="10"/>
      <c r="B82" s="10"/>
      <c r="C82" s="10"/>
      <c r="D82" s="10"/>
      <c r="E82" s="10"/>
      <c r="F82" s="10"/>
      <c r="G82" s="10"/>
      <c r="H82" s="10"/>
      <c r="I82" s="10"/>
    </row>
    <row r="83" spans="1:11" ht="13" x14ac:dyDescent="0.3">
      <c r="A83" s="49" t="s">
        <v>122</v>
      </c>
      <c r="B83" s="495" t="s">
        <v>123</v>
      </c>
      <c r="C83" s="496"/>
      <c r="D83" s="496"/>
      <c r="E83" s="496"/>
      <c r="F83" s="496"/>
      <c r="G83" s="497"/>
      <c r="H83" s="42"/>
      <c r="I83" s="34" t="s">
        <v>77</v>
      </c>
    </row>
    <row r="84" spans="1:11" ht="13" customHeight="1" x14ac:dyDescent="0.3">
      <c r="A84" s="8" t="s">
        <v>40</v>
      </c>
      <c r="B84" s="486" t="s">
        <v>124</v>
      </c>
      <c r="C84" s="486"/>
      <c r="D84" s="486"/>
      <c r="E84" s="486"/>
      <c r="F84" s="486"/>
      <c r="G84" s="486"/>
      <c r="H84" s="23" t="s">
        <v>125</v>
      </c>
      <c r="I84" s="27">
        <f>'Mód2.3 '!E12</f>
        <v>137.37860000000001</v>
      </c>
    </row>
    <row r="85" spans="1:11" ht="13" customHeight="1" x14ac:dyDescent="0.3">
      <c r="A85" s="8" t="s">
        <v>42</v>
      </c>
      <c r="B85" s="486" t="s">
        <v>126</v>
      </c>
      <c r="C85" s="486"/>
      <c r="D85" s="486"/>
      <c r="E85" s="486"/>
      <c r="F85" s="486"/>
      <c r="G85" s="486"/>
      <c r="H85" s="23" t="s">
        <v>125</v>
      </c>
      <c r="I85" s="27">
        <f>'Mód2.3 '!E25</f>
        <v>974.59999999999991</v>
      </c>
    </row>
    <row r="86" spans="1:11" ht="13" customHeight="1" x14ac:dyDescent="0.3">
      <c r="A86" s="8" t="s">
        <v>45</v>
      </c>
      <c r="B86" s="486" t="s">
        <v>127</v>
      </c>
      <c r="C86" s="486"/>
      <c r="D86" s="486"/>
      <c r="E86" s="486"/>
      <c r="F86" s="486"/>
      <c r="G86" s="486"/>
      <c r="H86" s="23" t="s">
        <v>125</v>
      </c>
      <c r="I86" s="27">
        <f>'Mód2.3 '!E33</f>
        <v>0</v>
      </c>
    </row>
    <row r="87" spans="1:11" ht="15" customHeight="1" x14ac:dyDescent="0.3">
      <c r="A87" s="47" t="s">
        <v>48</v>
      </c>
      <c r="B87" s="551" t="s">
        <v>128</v>
      </c>
      <c r="C87" s="486"/>
      <c r="D87" s="486"/>
      <c r="E87" s="486"/>
      <c r="F87" s="486"/>
      <c r="G87" s="486"/>
      <c r="H87" s="36" t="s">
        <v>125</v>
      </c>
      <c r="I87" s="166">
        <f>'Mód2.3 '!E42</f>
        <v>13.64</v>
      </c>
    </row>
    <row r="88" spans="1:11" ht="13" customHeight="1" x14ac:dyDescent="0.3">
      <c r="A88" s="8" t="s">
        <v>84</v>
      </c>
      <c r="B88" s="486" t="s">
        <v>130</v>
      </c>
      <c r="C88" s="486"/>
      <c r="D88" s="486"/>
      <c r="E88" s="486"/>
      <c r="F88" s="486"/>
      <c r="G88" s="486"/>
      <c r="H88" s="23" t="s">
        <v>125</v>
      </c>
      <c r="I88" s="27">
        <f>'Mód2.3 '!E52</f>
        <v>3.61</v>
      </c>
    </row>
    <row r="89" spans="1:11" ht="13" x14ac:dyDescent="0.3">
      <c r="A89" s="8"/>
      <c r="B89" s="486"/>
      <c r="C89" s="486"/>
      <c r="D89" s="486"/>
      <c r="E89" s="486"/>
      <c r="F89" s="486"/>
      <c r="G89" s="486"/>
      <c r="H89" s="23"/>
      <c r="I89" s="27"/>
    </row>
    <row r="90" spans="1:11" ht="13" x14ac:dyDescent="0.3">
      <c r="A90" s="480" t="s">
        <v>132</v>
      </c>
      <c r="B90" s="480"/>
      <c r="C90" s="480"/>
      <c r="D90" s="480"/>
      <c r="E90" s="480"/>
      <c r="F90" s="480"/>
      <c r="G90" s="480"/>
      <c r="H90" s="480"/>
      <c r="I90" s="43">
        <f>SUM(I84:I89)</f>
        <v>1129.2285999999999</v>
      </c>
    </row>
    <row r="91" spans="1:11" ht="13" x14ac:dyDescent="0.3">
      <c r="A91" s="3"/>
      <c r="B91" s="3"/>
      <c r="C91" s="3"/>
      <c r="D91" s="3"/>
      <c r="E91" s="3"/>
      <c r="F91" s="3"/>
      <c r="G91" s="3"/>
      <c r="H91" s="3"/>
      <c r="I91" s="4"/>
    </row>
    <row r="92" spans="1:11" ht="13" x14ac:dyDescent="0.3">
      <c r="A92" s="37" t="s">
        <v>133</v>
      </c>
      <c r="B92" s="3"/>
      <c r="C92" s="3"/>
      <c r="D92" s="3"/>
      <c r="E92" s="3"/>
      <c r="F92" s="3"/>
      <c r="G92" s="3"/>
      <c r="H92" s="3"/>
      <c r="I92" s="4"/>
    </row>
    <row r="93" spans="1:11" ht="13" x14ac:dyDescent="0.3">
      <c r="A93" s="37" t="s">
        <v>134</v>
      </c>
      <c r="B93" s="3"/>
      <c r="C93" s="3"/>
      <c r="D93" s="3"/>
      <c r="E93" s="3"/>
      <c r="F93" s="3"/>
      <c r="G93" s="3"/>
      <c r="H93" s="3"/>
      <c r="I93" s="4"/>
    </row>
    <row r="94" spans="1:11" ht="13" x14ac:dyDescent="0.3">
      <c r="A94" s="37" t="s">
        <v>135</v>
      </c>
      <c r="B94" s="3"/>
      <c r="C94" s="3"/>
      <c r="D94" s="3"/>
      <c r="E94" s="3"/>
      <c r="F94" s="3"/>
      <c r="G94" s="3"/>
      <c r="H94" s="3"/>
      <c r="I94" s="4"/>
    </row>
    <row r="95" spans="1:11" ht="13" x14ac:dyDescent="0.3">
      <c r="A95" s="37" t="s">
        <v>136</v>
      </c>
      <c r="B95" s="3"/>
      <c r="C95" s="3"/>
      <c r="D95" s="3"/>
      <c r="E95" s="3"/>
      <c r="F95" s="3"/>
      <c r="G95" s="3"/>
      <c r="H95" s="3"/>
      <c r="I95" s="4"/>
    </row>
    <row r="96" spans="1:11" ht="13" x14ac:dyDescent="0.3">
      <c r="A96" s="10"/>
      <c r="B96" s="10"/>
      <c r="C96" s="10"/>
      <c r="D96" s="10"/>
      <c r="E96" s="10"/>
      <c r="F96" s="10"/>
      <c r="G96" s="10"/>
      <c r="H96" s="10"/>
      <c r="I96" s="10"/>
    </row>
    <row r="97" spans="1:11" ht="13" x14ac:dyDescent="0.3">
      <c r="A97" s="49">
        <v>2</v>
      </c>
      <c r="B97" s="48" t="s">
        <v>137</v>
      </c>
      <c r="C97" s="48"/>
      <c r="D97" s="48"/>
      <c r="E97" s="48"/>
      <c r="F97" s="48"/>
      <c r="G97" s="48"/>
      <c r="H97" s="48"/>
      <c r="I97" s="48"/>
    </row>
    <row r="98" spans="1:11" ht="13" x14ac:dyDescent="0.3">
      <c r="A98" s="477" t="s">
        <v>138</v>
      </c>
      <c r="B98" s="477"/>
      <c r="C98" s="477"/>
      <c r="D98" s="477"/>
      <c r="E98" s="477"/>
      <c r="F98" s="477"/>
      <c r="G98" s="477"/>
      <c r="H98" s="477"/>
      <c r="I98" s="8" t="s">
        <v>77</v>
      </c>
    </row>
    <row r="99" spans="1:11" ht="13" x14ac:dyDescent="0.3">
      <c r="A99" s="8" t="s">
        <v>92</v>
      </c>
      <c r="B99" s="514" t="s">
        <v>139</v>
      </c>
      <c r="C99" s="514"/>
      <c r="D99" s="514"/>
      <c r="E99" s="514"/>
      <c r="F99" s="514"/>
      <c r="G99" s="514"/>
      <c r="H99" s="514"/>
      <c r="I99" s="25">
        <f>I56</f>
        <v>487.38878905600006</v>
      </c>
    </row>
    <row r="100" spans="1:11" ht="13" x14ac:dyDescent="0.3">
      <c r="A100" s="8" t="s">
        <v>104</v>
      </c>
      <c r="B100" s="514" t="s">
        <v>140</v>
      </c>
      <c r="C100" s="514"/>
      <c r="D100" s="514"/>
      <c r="E100" s="514"/>
      <c r="F100" s="514"/>
      <c r="G100" s="514"/>
      <c r="H100" s="514"/>
      <c r="I100" s="25">
        <f>I75</f>
        <v>641.67792000000009</v>
      </c>
    </row>
    <row r="101" spans="1:11" ht="13" x14ac:dyDescent="0.3">
      <c r="A101" s="8" t="s">
        <v>122</v>
      </c>
      <c r="B101" s="514" t="s">
        <v>141</v>
      </c>
      <c r="C101" s="514"/>
      <c r="D101" s="514"/>
      <c r="E101" s="514"/>
      <c r="F101" s="514"/>
      <c r="G101" s="514"/>
      <c r="H101" s="514"/>
      <c r="I101" s="25">
        <f>I90</f>
        <v>1129.2285999999999</v>
      </c>
    </row>
    <row r="102" spans="1:11" ht="13" x14ac:dyDescent="0.3">
      <c r="A102" s="485" t="s">
        <v>142</v>
      </c>
      <c r="B102" s="485"/>
      <c r="C102" s="485"/>
      <c r="D102" s="485"/>
      <c r="E102" s="485"/>
      <c r="F102" s="485"/>
      <c r="G102" s="485"/>
      <c r="H102" s="485"/>
      <c r="I102" s="128">
        <f>SUM(I99:I101)</f>
        <v>2258.295309056</v>
      </c>
      <c r="K102" s="7"/>
    </row>
    <row r="103" spans="1:11" ht="13" x14ac:dyDescent="0.3">
      <c r="A103" s="493"/>
      <c r="B103" s="494"/>
      <c r="C103" s="494"/>
      <c r="D103" s="494"/>
      <c r="E103" s="494"/>
      <c r="F103" s="494"/>
      <c r="G103" s="494"/>
      <c r="H103" s="494"/>
      <c r="I103" s="494"/>
    </row>
    <row r="104" spans="1:11" ht="13" x14ac:dyDescent="0.3">
      <c r="A104" s="492" t="s">
        <v>143</v>
      </c>
      <c r="B104" s="492"/>
      <c r="C104" s="492"/>
      <c r="D104" s="492"/>
      <c r="E104" s="492"/>
      <c r="F104" s="492"/>
      <c r="G104" s="492"/>
      <c r="H104" s="492"/>
      <c r="I104" s="492"/>
    </row>
    <row r="105" spans="1:11" ht="13" x14ac:dyDescent="0.3">
      <c r="A105" s="8">
        <v>3</v>
      </c>
      <c r="B105" s="477" t="s">
        <v>144</v>
      </c>
      <c r="C105" s="477"/>
      <c r="D105" s="477"/>
      <c r="E105" s="477"/>
      <c r="F105" s="477"/>
      <c r="G105" s="477"/>
      <c r="H105" s="8" t="s">
        <v>76</v>
      </c>
      <c r="I105" s="8" t="s">
        <v>77</v>
      </c>
    </row>
    <row r="106" spans="1:11" ht="13" x14ac:dyDescent="0.3">
      <c r="A106" s="8" t="s">
        <v>40</v>
      </c>
      <c r="B106" s="478" t="s">
        <v>145</v>
      </c>
      <c r="C106" s="478"/>
      <c r="D106" s="478"/>
      <c r="E106" s="478"/>
      <c r="F106" s="478"/>
      <c r="G106" s="478"/>
      <c r="H106" s="1">
        <v>4.1999999999999997E-3</v>
      </c>
      <c r="I106" s="25">
        <f>H106*I45</f>
        <v>7.3234979999999998</v>
      </c>
    </row>
    <row r="107" spans="1:11" ht="13" x14ac:dyDescent="0.25">
      <c r="A107" s="47" t="s">
        <v>42</v>
      </c>
      <c r="B107" s="481" t="s">
        <v>146</v>
      </c>
      <c r="C107" s="481"/>
      <c r="D107" s="481"/>
      <c r="E107" s="481"/>
      <c r="F107" s="481"/>
      <c r="G107" s="481"/>
      <c r="H107" s="160">
        <f>H74</f>
        <v>0.08</v>
      </c>
      <c r="I107" s="161">
        <f>I106*H107</f>
        <v>0.58587984000000004</v>
      </c>
    </row>
    <row r="108" spans="1:11" ht="24.75" customHeight="1" x14ac:dyDescent="0.25">
      <c r="A108" s="47" t="s">
        <v>45</v>
      </c>
      <c r="B108" s="481" t="s">
        <v>147</v>
      </c>
      <c r="C108" s="481"/>
      <c r="D108" s="481"/>
      <c r="E108" s="481"/>
      <c r="F108" s="481"/>
      <c r="G108" s="481"/>
      <c r="H108" s="160">
        <v>2E-3</v>
      </c>
      <c r="I108" s="161">
        <f>H108*I45</f>
        <v>3.4873800000000004</v>
      </c>
    </row>
    <row r="109" spans="1:11" ht="13" x14ac:dyDescent="0.3">
      <c r="A109" s="8" t="s">
        <v>48</v>
      </c>
      <c r="B109" s="478" t="s">
        <v>148</v>
      </c>
      <c r="C109" s="478"/>
      <c r="D109" s="478"/>
      <c r="E109" s="478"/>
      <c r="F109" s="478"/>
      <c r="G109" s="478"/>
      <c r="H109" s="1">
        <v>1.9400000000000001E-2</v>
      </c>
      <c r="I109" s="25">
        <f>H109*I45</f>
        <v>33.827586000000004</v>
      </c>
    </row>
    <row r="110" spans="1:11" ht="13" x14ac:dyDescent="0.3">
      <c r="A110" s="8" t="s">
        <v>84</v>
      </c>
      <c r="B110" s="511" t="s">
        <v>149</v>
      </c>
      <c r="C110" s="511"/>
      <c r="D110" s="511"/>
      <c r="E110" s="511"/>
      <c r="F110" s="511"/>
      <c r="G110" s="511"/>
      <c r="H110" s="24">
        <f>H75</f>
        <v>0.36800000000000005</v>
      </c>
      <c r="I110" s="25">
        <f>I109*H110</f>
        <v>12.448551648000002</v>
      </c>
    </row>
    <row r="111" spans="1:11" ht="25.5" customHeight="1" x14ac:dyDescent="0.25">
      <c r="A111" s="47" t="s">
        <v>86</v>
      </c>
      <c r="B111" s="481" t="s">
        <v>150</v>
      </c>
      <c r="C111" s="481"/>
      <c r="D111" s="481"/>
      <c r="E111" s="481"/>
      <c r="F111" s="481"/>
      <c r="G111" s="481"/>
      <c r="H111" s="160">
        <v>3.7999999999999999E-2</v>
      </c>
      <c r="I111" s="161">
        <f>H111*I45</f>
        <v>66.260220000000004</v>
      </c>
      <c r="K111" s="7"/>
    </row>
    <row r="112" spans="1:11" ht="13" x14ac:dyDescent="0.3">
      <c r="A112" s="485" t="s">
        <v>151</v>
      </c>
      <c r="B112" s="485"/>
      <c r="C112" s="485"/>
      <c r="D112" s="485"/>
      <c r="E112" s="485"/>
      <c r="F112" s="485"/>
      <c r="G112" s="485"/>
      <c r="H112" s="42"/>
      <c r="I112" s="128">
        <f>SUM(I106:I111)</f>
        <v>123.93311548800001</v>
      </c>
    </row>
    <row r="113" spans="1:11" ht="13" x14ac:dyDescent="0.3">
      <c r="A113" s="563"/>
      <c r="B113" s="513"/>
      <c r="C113" s="513"/>
      <c r="D113" s="513"/>
      <c r="E113" s="513"/>
      <c r="F113" s="513"/>
      <c r="G113" s="513"/>
      <c r="H113" s="513"/>
      <c r="I113" s="513"/>
    </row>
    <row r="114" spans="1:11" ht="13" x14ac:dyDescent="0.3">
      <c r="A114" s="492" t="s">
        <v>152</v>
      </c>
      <c r="B114" s="492"/>
      <c r="C114" s="492"/>
      <c r="D114" s="492"/>
      <c r="E114" s="492"/>
      <c r="F114" s="492"/>
      <c r="G114" s="492"/>
      <c r="H114" s="492"/>
      <c r="I114" s="492"/>
    </row>
    <row r="115" spans="1:11" ht="13" x14ac:dyDescent="0.3">
      <c r="A115" s="3"/>
      <c r="B115" s="3"/>
      <c r="C115" s="3"/>
      <c r="D115" s="3"/>
      <c r="E115" s="3"/>
      <c r="F115" s="3"/>
      <c r="G115" s="3"/>
      <c r="H115" s="3"/>
      <c r="I115" s="3"/>
    </row>
    <row r="116" spans="1:11" ht="13" x14ac:dyDescent="0.3">
      <c r="A116" s="37" t="s">
        <v>153</v>
      </c>
      <c r="B116" s="3"/>
      <c r="C116" s="3"/>
      <c r="D116" s="3"/>
      <c r="E116" s="3"/>
      <c r="F116" s="3"/>
      <c r="G116" s="3"/>
      <c r="H116" s="3"/>
      <c r="I116" s="3"/>
    </row>
    <row r="117" spans="1:11" ht="13" x14ac:dyDescent="0.3">
      <c r="A117" s="37" t="s">
        <v>154</v>
      </c>
      <c r="B117" s="3"/>
      <c r="C117" s="3"/>
      <c r="D117" s="3"/>
      <c r="E117" s="3"/>
      <c r="F117" s="3"/>
      <c r="G117" s="3"/>
      <c r="H117" s="3"/>
      <c r="I117" s="3"/>
    </row>
    <row r="118" spans="1:11" ht="13" x14ac:dyDescent="0.3">
      <c r="A118" s="3"/>
      <c r="B118" s="3"/>
      <c r="C118" s="3"/>
      <c r="D118" s="3"/>
      <c r="E118" s="3"/>
      <c r="F118" s="3"/>
      <c r="G118" s="3"/>
      <c r="H118" s="3"/>
      <c r="I118" s="3"/>
    </row>
    <row r="119" spans="1:11" ht="13" x14ac:dyDescent="0.3">
      <c r="A119" s="49" t="s">
        <v>155</v>
      </c>
      <c r="B119" s="480" t="s">
        <v>156</v>
      </c>
      <c r="C119" s="480"/>
      <c r="D119" s="480"/>
      <c r="E119" s="480"/>
      <c r="F119" s="480"/>
      <c r="G119" s="480"/>
      <c r="H119" s="34" t="s">
        <v>76</v>
      </c>
      <c r="I119" s="34" t="s">
        <v>77</v>
      </c>
    </row>
    <row r="120" spans="1:11" ht="13" x14ac:dyDescent="0.3">
      <c r="A120" s="49" t="s">
        <v>40</v>
      </c>
      <c r="B120" s="478" t="s">
        <v>157</v>
      </c>
      <c r="C120" s="478"/>
      <c r="D120" s="478"/>
      <c r="E120" s="478"/>
      <c r="F120" s="478"/>
      <c r="G120" s="478"/>
      <c r="H120" s="43"/>
      <c r="I120" s="43"/>
    </row>
    <row r="121" spans="1:11" ht="13" x14ac:dyDescent="0.3">
      <c r="A121" s="8" t="s">
        <v>42</v>
      </c>
      <c r="B121" s="478" t="s">
        <v>158</v>
      </c>
      <c r="C121" s="478"/>
      <c r="D121" s="478"/>
      <c r="E121" s="478"/>
      <c r="F121" s="478"/>
      <c r="G121" s="478"/>
      <c r="H121" s="172">
        <v>1.67E-2</v>
      </c>
      <c r="I121" s="25">
        <f>H121*$I$45</f>
        <v>29.119623000000001</v>
      </c>
      <c r="J121" s="32" t="s">
        <v>159</v>
      </c>
      <c r="K121" s="163"/>
    </row>
    <row r="122" spans="1:11" ht="13" x14ac:dyDescent="0.3">
      <c r="A122" s="8" t="s">
        <v>45</v>
      </c>
      <c r="B122" s="478" t="s">
        <v>160</v>
      </c>
      <c r="C122" s="478"/>
      <c r="D122" s="478"/>
      <c r="E122" s="478"/>
      <c r="F122" s="478"/>
      <c r="G122" s="478"/>
      <c r="H122" s="172">
        <v>2.0000000000000001E-4</v>
      </c>
      <c r="I122" s="25">
        <f>H122*$I$45</f>
        <v>0.34873800000000005</v>
      </c>
      <c r="J122" s="32" t="s">
        <v>159</v>
      </c>
      <c r="K122" s="163"/>
    </row>
    <row r="123" spans="1:11" ht="13.5" x14ac:dyDescent="0.25">
      <c r="A123" s="47" t="s">
        <v>48</v>
      </c>
      <c r="B123" s="481" t="s">
        <v>161</v>
      </c>
      <c r="C123" s="481"/>
      <c r="D123" s="481"/>
      <c r="E123" s="481"/>
      <c r="F123" s="481"/>
      <c r="G123" s="481"/>
      <c r="H123" s="160">
        <v>6.9999999999999999E-4</v>
      </c>
      <c r="I123" s="161">
        <f>H123*$I$45</f>
        <v>1.220583</v>
      </c>
      <c r="J123" s="32" t="s">
        <v>159</v>
      </c>
    </row>
    <row r="124" spans="1:11" ht="13" x14ac:dyDescent="0.3">
      <c r="A124" s="8" t="s">
        <v>84</v>
      </c>
      <c r="B124" s="478" t="s">
        <v>162</v>
      </c>
      <c r="C124" s="478"/>
      <c r="D124" s="478"/>
      <c r="E124" s="478"/>
      <c r="F124" s="478"/>
      <c r="G124" s="478"/>
      <c r="H124" s="172">
        <v>2.8999999999999998E-3</v>
      </c>
      <c r="I124" s="25">
        <f>H124*$I$45</f>
        <v>5.0567009999999994</v>
      </c>
      <c r="J124" s="32" t="s">
        <v>159</v>
      </c>
    </row>
    <row r="125" spans="1:11" ht="13" x14ac:dyDescent="0.3">
      <c r="A125" s="8" t="s">
        <v>86</v>
      </c>
      <c r="B125" s="478" t="s">
        <v>163</v>
      </c>
      <c r="C125" s="478"/>
      <c r="D125" s="478"/>
      <c r="E125" s="478"/>
      <c r="F125" s="478"/>
      <c r="G125" s="478"/>
      <c r="H125" s="172"/>
      <c r="I125" s="25">
        <f t="shared" ref="I125" si="1">H125*$I$45</f>
        <v>0</v>
      </c>
      <c r="J125" s="32" t="s">
        <v>159</v>
      </c>
    </row>
    <row r="126" spans="1:11" ht="13" x14ac:dyDescent="0.3">
      <c r="A126" s="480" t="s">
        <v>164</v>
      </c>
      <c r="B126" s="480"/>
      <c r="C126" s="480"/>
      <c r="D126" s="480"/>
      <c r="E126" s="480"/>
      <c r="F126" s="480"/>
      <c r="G126" s="480"/>
      <c r="H126" s="42"/>
      <c r="I126" s="43">
        <f>SUM(I121:I125)</f>
        <v>35.745645000000003</v>
      </c>
      <c r="J126" s="32"/>
    </row>
    <row r="127" spans="1:11" ht="13" x14ac:dyDescent="0.3">
      <c r="A127" s="8" t="s">
        <v>86</v>
      </c>
      <c r="B127" s="478" t="s">
        <v>165</v>
      </c>
      <c r="C127" s="478"/>
      <c r="D127" s="478"/>
      <c r="E127" s="478"/>
      <c r="F127" s="478"/>
      <c r="G127" s="478"/>
      <c r="H127" s="1">
        <f>H75</f>
        <v>0.36800000000000005</v>
      </c>
      <c r="I127" s="25">
        <f>I126*H127</f>
        <v>13.154397360000003</v>
      </c>
    </row>
    <row r="128" spans="1:11" ht="13" x14ac:dyDescent="0.3">
      <c r="A128" s="480" t="s">
        <v>166</v>
      </c>
      <c r="B128" s="480"/>
      <c r="C128" s="480"/>
      <c r="D128" s="480"/>
      <c r="E128" s="480"/>
      <c r="F128" s="480"/>
      <c r="G128" s="480"/>
      <c r="H128" s="42"/>
      <c r="I128" s="43">
        <f>SUM(I126:I127)</f>
        <v>48.900042360000008</v>
      </c>
    </row>
    <row r="129" spans="1:11" ht="13" x14ac:dyDescent="0.3">
      <c r="A129" s="3"/>
      <c r="B129" s="3"/>
      <c r="C129" s="3"/>
      <c r="D129" s="3"/>
      <c r="E129" s="3"/>
      <c r="F129" s="3"/>
      <c r="G129" s="3"/>
      <c r="H129" s="3"/>
      <c r="I129" s="3"/>
    </row>
    <row r="130" spans="1:11" ht="13" x14ac:dyDescent="0.3">
      <c r="A130" s="49" t="s">
        <v>167</v>
      </c>
      <c r="B130" s="495" t="s">
        <v>168</v>
      </c>
      <c r="C130" s="496"/>
      <c r="D130" s="496"/>
      <c r="E130" s="496"/>
      <c r="F130" s="496"/>
      <c r="G130" s="497"/>
      <c r="H130" s="34" t="s">
        <v>76</v>
      </c>
      <c r="I130" s="34" t="s">
        <v>77</v>
      </c>
    </row>
    <row r="131" spans="1:11" ht="13" x14ac:dyDescent="0.3">
      <c r="A131" s="8" t="s">
        <v>40</v>
      </c>
      <c r="B131" s="498" t="s">
        <v>169</v>
      </c>
      <c r="C131" s="499"/>
      <c r="D131" s="499"/>
      <c r="E131" s="499"/>
      <c r="F131" s="499"/>
      <c r="G131" s="500"/>
      <c r="H131" s="172">
        <v>0</v>
      </c>
      <c r="I131" s="25">
        <v>0</v>
      </c>
    </row>
    <row r="132" spans="1:11" ht="13" x14ac:dyDescent="0.3">
      <c r="A132" s="495" t="s">
        <v>170</v>
      </c>
      <c r="B132" s="496"/>
      <c r="C132" s="496"/>
      <c r="D132" s="496"/>
      <c r="E132" s="496"/>
      <c r="F132" s="496"/>
      <c r="G132" s="497"/>
      <c r="H132" s="42">
        <f>TRUNC(SUM(H131),4)</f>
        <v>0</v>
      </c>
      <c r="I132" s="43">
        <f>SUM(I131)</f>
        <v>0</v>
      </c>
    </row>
    <row r="133" spans="1:11" ht="13" x14ac:dyDescent="0.3">
      <c r="A133" s="51"/>
      <c r="B133" s="45"/>
      <c r="C133" s="45"/>
      <c r="D133" s="45"/>
      <c r="E133" s="45"/>
      <c r="F133" s="45"/>
      <c r="G133" s="45"/>
      <c r="H133" s="45"/>
      <c r="I133" s="45"/>
    </row>
    <row r="134" spans="1:11" ht="13" x14ac:dyDescent="0.3">
      <c r="A134" s="480" t="s">
        <v>171</v>
      </c>
      <c r="B134" s="480"/>
      <c r="C134" s="480"/>
      <c r="D134" s="480"/>
      <c r="E134" s="480"/>
      <c r="F134" s="480"/>
      <c r="G134" s="480"/>
      <c r="H134" s="480"/>
      <c r="I134" s="480"/>
    </row>
    <row r="135" spans="1:11" ht="13" x14ac:dyDescent="0.3">
      <c r="A135" s="47">
        <v>4</v>
      </c>
      <c r="B135" s="502" t="s">
        <v>172</v>
      </c>
      <c r="C135" s="503"/>
      <c r="D135" s="503"/>
      <c r="E135" s="503"/>
      <c r="F135" s="503"/>
      <c r="G135" s="504"/>
      <c r="H135" s="46"/>
      <c r="I135" s="8" t="s">
        <v>77</v>
      </c>
    </row>
    <row r="136" spans="1:11" ht="13" x14ac:dyDescent="0.3">
      <c r="A136" s="8" t="s">
        <v>155</v>
      </c>
      <c r="B136" s="505" t="s">
        <v>173</v>
      </c>
      <c r="C136" s="506"/>
      <c r="D136" s="506"/>
      <c r="E136" s="506"/>
      <c r="F136" s="506"/>
      <c r="G136" s="507"/>
      <c r="H136" s="22"/>
      <c r="I136" s="25">
        <f>I128</f>
        <v>48.900042360000008</v>
      </c>
    </row>
    <row r="137" spans="1:11" ht="13" x14ac:dyDescent="0.3">
      <c r="A137" s="8" t="s">
        <v>167</v>
      </c>
      <c r="B137" s="505" t="s">
        <v>174</v>
      </c>
      <c r="C137" s="506"/>
      <c r="D137" s="506"/>
      <c r="E137" s="506"/>
      <c r="F137" s="506"/>
      <c r="G137" s="507"/>
      <c r="H137" s="22"/>
      <c r="I137" s="25">
        <f>I132</f>
        <v>0</v>
      </c>
    </row>
    <row r="138" spans="1:11" ht="13" x14ac:dyDescent="0.3">
      <c r="A138" s="485" t="s">
        <v>175</v>
      </c>
      <c r="B138" s="485"/>
      <c r="C138" s="485"/>
      <c r="D138" s="485"/>
      <c r="E138" s="485"/>
      <c r="F138" s="485"/>
      <c r="G138" s="485"/>
      <c r="H138" s="485"/>
      <c r="I138" s="128">
        <f>SUM(I136:I137)</f>
        <v>48.900042360000008</v>
      </c>
    </row>
    <row r="139" spans="1:11" ht="13" x14ac:dyDescent="0.3">
      <c r="A139" s="493"/>
      <c r="B139" s="494"/>
      <c r="C139" s="494"/>
      <c r="D139" s="494"/>
      <c r="E139" s="494"/>
      <c r="F139" s="494"/>
      <c r="G139" s="494"/>
      <c r="H139" s="494"/>
      <c r="I139" s="494"/>
    </row>
    <row r="140" spans="1:11" ht="13" x14ac:dyDescent="0.3">
      <c r="A140" s="492" t="s">
        <v>176</v>
      </c>
      <c r="B140" s="492"/>
      <c r="C140" s="492"/>
      <c r="D140" s="492"/>
      <c r="E140" s="492"/>
      <c r="F140" s="492"/>
      <c r="G140" s="492"/>
      <c r="H140" s="492"/>
      <c r="I140" s="492"/>
    </row>
    <row r="141" spans="1:11" ht="13" x14ac:dyDescent="0.3">
      <c r="A141" s="8">
        <v>5</v>
      </c>
      <c r="B141" s="477" t="s">
        <v>177</v>
      </c>
      <c r="C141" s="477"/>
      <c r="D141" s="477"/>
      <c r="E141" s="477"/>
      <c r="F141" s="477"/>
      <c r="G141" s="477"/>
      <c r="H141" s="8"/>
      <c r="I141" s="8" t="s">
        <v>77</v>
      </c>
    </row>
    <row r="142" spans="1:11" ht="13" x14ac:dyDescent="0.3">
      <c r="A142" s="8" t="s">
        <v>40</v>
      </c>
      <c r="B142" s="486" t="s">
        <v>178</v>
      </c>
      <c r="C142" s="486"/>
      <c r="D142" s="486"/>
      <c r="E142" s="486"/>
      <c r="F142" s="486"/>
      <c r="G142" s="486"/>
      <c r="H142" s="23" t="s">
        <v>125</v>
      </c>
      <c r="I142" s="25">
        <f>'Uniform&amp;EPIs '!K25</f>
        <v>163.85291666666669</v>
      </c>
    </row>
    <row r="143" spans="1:11" s="50" customFormat="1" ht="25" x14ac:dyDescent="0.25">
      <c r="A143" s="47" t="s">
        <v>42</v>
      </c>
      <c r="B143" s="562" t="s">
        <v>179</v>
      </c>
      <c r="C143" s="562"/>
      <c r="D143" s="562"/>
      <c r="E143" s="562"/>
      <c r="F143" s="562"/>
      <c r="G143" s="562"/>
      <c r="H143" s="36" t="s">
        <v>125</v>
      </c>
      <c r="I143" s="161">
        <v>0</v>
      </c>
      <c r="K143" s="306" t="s">
        <v>552</v>
      </c>
    </row>
    <row r="144" spans="1:11" ht="13" x14ac:dyDescent="0.3">
      <c r="A144" s="28" t="s">
        <v>45</v>
      </c>
      <c r="B144" s="486" t="s">
        <v>180</v>
      </c>
      <c r="C144" s="486"/>
      <c r="D144" s="486"/>
      <c r="E144" s="486"/>
      <c r="F144" s="486"/>
      <c r="G144" s="486"/>
      <c r="H144" s="23" t="s">
        <v>125</v>
      </c>
      <c r="I144" s="25">
        <f>Equipamentos!K70</f>
        <v>6.8052777777777775</v>
      </c>
      <c r="K144" s="306"/>
    </row>
    <row r="145" spans="1:13" ht="13" x14ac:dyDescent="0.3">
      <c r="A145" s="28" t="s">
        <v>48</v>
      </c>
      <c r="B145" s="486" t="s">
        <v>87</v>
      </c>
      <c r="C145" s="486"/>
      <c r="D145" s="486"/>
      <c r="E145" s="486"/>
      <c r="F145" s="486"/>
      <c r="G145" s="486"/>
      <c r="H145" s="23" t="s">
        <v>125</v>
      </c>
      <c r="I145" s="25">
        <v>0</v>
      </c>
    </row>
    <row r="146" spans="1:13" ht="13" x14ac:dyDescent="0.3">
      <c r="A146" s="485" t="s">
        <v>181</v>
      </c>
      <c r="B146" s="485"/>
      <c r="C146" s="485"/>
      <c r="D146" s="485"/>
      <c r="E146" s="485"/>
      <c r="F146" s="485"/>
      <c r="G146" s="485"/>
      <c r="H146" s="42" t="s">
        <v>125</v>
      </c>
      <c r="I146" s="128">
        <f>SUM(I142:I145)</f>
        <v>170.65819444444446</v>
      </c>
      <c r="K146" s="163"/>
    </row>
    <row r="147" spans="1:13" ht="13" x14ac:dyDescent="0.25">
      <c r="A147" s="53"/>
      <c r="B147" s="53"/>
      <c r="C147" s="53"/>
      <c r="D147" s="53"/>
      <c r="E147" s="53"/>
      <c r="F147" s="53"/>
      <c r="G147" s="53"/>
      <c r="H147" s="53"/>
      <c r="I147" s="53"/>
    </row>
    <row r="148" spans="1:13" ht="13" x14ac:dyDescent="0.3">
      <c r="A148" s="37" t="s">
        <v>182</v>
      </c>
      <c r="B148" s="3"/>
      <c r="C148" s="3"/>
      <c r="D148" s="3"/>
      <c r="E148" s="3"/>
      <c r="F148" s="3"/>
      <c r="G148" s="3"/>
      <c r="H148" s="3"/>
      <c r="I148" s="3"/>
    </row>
    <row r="149" spans="1:13" ht="13" x14ac:dyDescent="0.3">
      <c r="A149" s="52"/>
      <c r="B149" s="3"/>
      <c r="C149" s="3"/>
      <c r="D149" s="3"/>
      <c r="E149" s="3"/>
      <c r="F149" s="3"/>
      <c r="G149" s="3"/>
      <c r="H149" s="3"/>
      <c r="I149" s="3"/>
    </row>
    <row r="150" spans="1:13" ht="13" x14ac:dyDescent="0.3">
      <c r="A150" s="492" t="s">
        <v>183</v>
      </c>
      <c r="B150" s="492"/>
      <c r="C150" s="492"/>
      <c r="D150" s="492"/>
      <c r="E150" s="492"/>
      <c r="F150" s="492"/>
      <c r="G150" s="492"/>
      <c r="H150" s="492"/>
      <c r="I150" s="492"/>
    </row>
    <row r="151" spans="1:13" ht="13" x14ac:dyDescent="0.3">
      <c r="A151" s="8">
        <v>6</v>
      </c>
      <c r="B151" s="477" t="s">
        <v>184</v>
      </c>
      <c r="C151" s="477"/>
      <c r="D151" s="477"/>
      <c r="E151" s="477"/>
      <c r="F151" s="477"/>
      <c r="G151" s="477"/>
      <c r="H151" s="8" t="s">
        <v>76</v>
      </c>
      <c r="I151" s="8" t="s">
        <v>77</v>
      </c>
    </row>
    <row r="152" spans="1:13" ht="13" x14ac:dyDescent="0.3">
      <c r="A152" s="8" t="s">
        <v>40</v>
      </c>
      <c r="B152" s="478" t="s">
        <v>185</v>
      </c>
      <c r="C152" s="478"/>
      <c r="D152" s="478"/>
      <c r="E152" s="478"/>
      <c r="F152" s="478"/>
      <c r="G152" s="478"/>
      <c r="H152" s="29">
        <v>0.05</v>
      </c>
      <c r="I152" s="259">
        <f>H152*I170</f>
        <v>217.27383306742223</v>
      </c>
      <c r="J152" s="32" t="s">
        <v>186</v>
      </c>
    </row>
    <row r="153" spans="1:13" ht="13" x14ac:dyDescent="0.3">
      <c r="A153" s="8" t="s">
        <v>42</v>
      </c>
      <c r="B153" s="478" t="s">
        <v>187</v>
      </c>
      <c r="C153" s="478"/>
      <c r="D153" s="478"/>
      <c r="E153" s="478"/>
      <c r="F153" s="478"/>
      <c r="G153" s="478"/>
      <c r="H153" s="29">
        <v>0.1</v>
      </c>
      <c r="I153" s="259">
        <f>H153*(I152+I170)</f>
        <v>456.27504944158665</v>
      </c>
      <c r="J153" s="32" t="s">
        <v>186</v>
      </c>
    </row>
    <row r="154" spans="1:13" ht="13" x14ac:dyDescent="0.3">
      <c r="A154" s="8" t="s">
        <v>45</v>
      </c>
      <c r="B154" s="483" t="s">
        <v>188</v>
      </c>
      <c r="C154" s="483"/>
      <c r="D154" s="483"/>
      <c r="E154" s="483"/>
      <c r="F154" s="483"/>
      <c r="G154" s="483"/>
      <c r="H154" s="2"/>
      <c r="I154" s="30"/>
    </row>
    <row r="155" spans="1:13" ht="13" x14ac:dyDescent="0.3">
      <c r="A155" s="8" t="s">
        <v>189</v>
      </c>
      <c r="B155" s="478" t="s">
        <v>190</v>
      </c>
      <c r="C155" s="478"/>
      <c r="D155" s="478"/>
      <c r="E155" s="478"/>
      <c r="F155" s="478"/>
      <c r="G155" s="478"/>
      <c r="H155" s="6">
        <v>1.6500000000000001E-2</v>
      </c>
      <c r="I155" s="259">
        <f>H155*$I$172</f>
        <v>96.576001718539928</v>
      </c>
      <c r="J155" s="32" t="s">
        <v>191</v>
      </c>
      <c r="K155" s="7"/>
    </row>
    <row r="156" spans="1:13" ht="13" x14ac:dyDescent="0.3">
      <c r="A156" s="8" t="s">
        <v>192</v>
      </c>
      <c r="B156" s="478" t="s">
        <v>193</v>
      </c>
      <c r="C156" s="478"/>
      <c r="D156" s="478"/>
      <c r="E156" s="478"/>
      <c r="F156" s="478"/>
      <c r="G156" s="478"/>
      <c r="H156" s="6">
        <v>7.5999999999999998E-2</v>
      </c>
      <c r="I156" s="259">
        <f t="shared" ref="I156:I157" si="2">H156*$I$172</f>
        <v>444.83491700660807</v>
      </c>
      <c r="J156" s="32" t="s">
        <v>191</v>
      </c>
      <c r="K156" s="7"/>
    </row>
    <row r="157" spans="1:13" ht="13" x14ac:dyDescent="0.3">
      <c r="A157" s="8" t="s">
        <v>194</v>
      </c>
      <c r="B157" s="478" t="s">
        <v>195</v>
      </c>
      <c r="C157" s="478"/>
      <c r="D157" s="478"/>
      <c r="E157" s="478"/>
      <c r="F157" s="478"/>
      <c r="G157" s="478"/>
      <c r="H157" s="6">
        <v>0.05</v>
      </c>
      <c r="I157" s="259">
        <f t="shared" si="2"/>
        <v>292.65455066224217</v>
      </c>
      <c r="J157" s="32" t="s">
        <v>191</v>
      </c>
      <c r="K157" s="7"/>
    </row>
    <row r="158" spans="1:13" ht="13" x14ac:dyDescent="0.3">
      <c r="A158" s="485" t="s">
        <v>196</v>
      </c>
      <c r="B158" s="485"/>
      <c r="C158" s="485"/>
      <c r="D158" s="485"/>
      <c r="E158" s="485"/>
      <c r="F158" s="485"/>
      <c r="G158" s="485"/>
      <c r="H158" s="54">
        <f>SUM(H152:H157)</f>
        <v>0.29250000000000004</v>
      </c>
      <c r="I158" s="128">
        <f>SUM(I152:I157)</f>
        <v>1507.6143518963991</v>
      </c>
      <c r="K158" s="7"/>
      <c r="M158" s="7"/>
    </row>
    <row r="159" spans="1:13" x14ac:dyDescent="0.25">
      <c r="A159" s="251"/>
      <c r="B159" s="260"/>
      <c r="C159" s="260"/>
      <c r="D159" s="260"/>
      <c r="E159" s="260"/>
      <c r="F159" s="260"/>
      <c r="G159" s="260"/>
      <c r="H159" s="260"/>
      <c r="I159" s="260"/>
    </row>
    <row r="160" spans="1:13" ht="13" x14ac:dyDescent="0.25">
      <c r="A160" s="37" t="s">
        <v>197</v>
      </c>
      <c r="B160" s="260"/>
      <c r="C160" s="260"/>
      <c r="D160" s="260"/>
      <c r="E160" s="260"/>
      <c r="F160" s="260"/>
      <c r="G160" s="260"/>
      <c r="H160" s="260"/>
      <c r="I160" s="260"/>
    </row>
    <row r="161" spans="1:11" ht="13" x14ac:dyDescent="0.25">
      <c r="A161" s="37" t="s">
        <v>198</v>
      </c>
      <c r="B161" s="260"/>
      <c r="C161" s="260"/>
      <c r="D161" s="260"/>
      <c r="E161" s="260"/>
      <c r="F161" s="260"/>
      <c r="G161" s="260"/>
      <c r="H161" s="260"/>
      <c r="I161" s="260"/>
    </row>
    <row r="162" spans="1:11" ht="13" x14ac:dyDescent="0.3">
      <c r="A162" s="251"/>
      <c r="B162" s="251"/>
      <c r="C162" s="251"/>
      <c r="D162" s="251"/>
      <c r="E162" s="251"/>
      <c r="F162" s="251"/>
      <c r="G162" s="251"/>
      <c r="H162" s="251"/>
      <c r="I162" s="4"/>
    </row>
    <row r="163" spans="1:11" ht="13" x14ac:dyDescent="0.3">
      <c r="A163" s="480" t="s">
        <v>199</v>
      </c>
      <c r="B163" s="480"/>
      <c r="C163" s="480"/>
      <c r="D163" s="480"/>
      <c r="E163" s="480"/>
      <c r="F163" s="480"/>
      <c r="G163" s="480"/>
      <c r="H163" s="480"/>
      <c r="I163" s="480"/>
      <c r="K163" s="9"/>
    </row>
    <row r="164" spans="1:11" ht="13" x14ac:dyDescent="0.3">
      <c r="A164" s="477" t="s">
        <v>200</v>
      </c>
      <c r="B164" s="477"/>
      <c r="C164" s="477"/>
      <c r="D164" s="477"/>
      <c r="E164" s="477"/>
      <c r="F164" s="477"/>
      <c r="G164" s="477"/>
      <c r="H164" s="477"/>
      <c r="I164" s="8" t="s">
        <v>77</v>
      </c>
    </row>
    <row r="165" spans="1:11" x14ac:dyDescent="0.25">
      <c r="A165" s="253" t="s">
        <v>40</v>
      </c>
      <c r="B165" s="472" t="str">
        <f>A37</f>
        <v>MÓDULO 1 - COMPOSIÇÃO DA REMUNERAÇÃO</v>
      </c>
      <c r="C165" s="472"/>
      <c r="D165" s="472"/>
      <c r="E165" s="472"/>
      <c r="F165" s="472"/>
      <c r="G165" s="472"/>
      <c r="H165" s="472"/>
      <c r="I165" s="259">
        <f>I45</f>
        <v>1743.69</v>
      </c>
    </row>
    <row r="166" spans="1:11" x14ac:dyDescent="0.25">
      <c r="A166" s="253" t="s">
        <v>42</v>
      </c>
      <c r="B166" s="472" t="str">
        <f>A50</f>
        <v>MÓDULO 2 – ENCARGOS E BENEFÍCIOS ANUAIS, MENSAIS E DIÁRIOS</v>
      </c>
      <c r="C166" s="472"/>
      <c r="D166" s="472"/>
      <c r="E166" s="472"/>
      <c r="F166" s="472"/>
      <c r="G166" s="472"/>
      <c r="H166" s="472"/>
      <c r="I166" s="259">
        <f>I102</f>
        <v>2258.295309056</v>
      </c>
    </row>
    <row r="167" spans="1:11" ht="13" x14ac:dyDescent="0.3">
      <c r="A167" s="253" t="s">
        <v>45</v>
      </c>
      <c r="B167" s="472" t="str">
        <f>A104</f>
        <v>MÓDULO 3 – PROVISÃO PARA RESCISÃO</v>
      </c>
      <c r="C167" s="472"/>
      <c r="D167" s="472"/>
      <c r="E167" s="472"/>
      <c r="F167" s="472"/>
      <c r="G167" s="472"/>
      <c r="H167" s="472"/>
      <c r="I167" s="259">
        <f>I112</f>
        <v>123.93311548800001</v>
      </c>
      <c r="K167" s="9"/>
    </row>
    <row r="168" spans="1:11" ht="13" x14ac:dyDescent="0.3">
      <c r="A168" s="23" t="s">
        <v>48</v>
      </c>
      <c r="B168" s="472" t="str">
        <f>A114</f>
        <v>MÓDULO 4 – CUSTO DE REPOSIÇÃO DO PROFISSIONAL AUSENTE</v>
      </c>
      <c r="C168" s="472"/>
      <c r="D168" s="472"/>
      <c r="E168" s="472"/>
      <c r="F168" s="472"/>
      <c r="G168" s="472"/>
      <c r="H168" s="472"/>
      <c r="I168" s="259">
        <f>I138</f>
        <v>48.900042360000008</v>
      </c>
      <c r="K168" s="9"/>
    </row>
    <row r="169" spans="1:11" x14ac:dyDescent="0.25">
      <c r="A169" s="23" t="s">
        <v>84</v>
      </c>
      <c r="B169" s="472" t="str">
        <f>A140</f>
        <v>MÓDULO 5 – INSUMOS DIVERSOS</v>
      </c>
      <c r="C169" s="472"/>
      <c r="D169" s="472"/>
      <c r="E169" s="472"/>
      <c r="F169" s="472"/>
      <c r="G169" s="472"/>
      <c r="H169" s="472"/>
      <c r="I169" s="259">
        <f>I146</f>
        <v>170.65819444444446</v>
      </c>
    </row>
    <row r="170" spans="1:11" ht="13" x14ac:dyDescent="0.3">
      <c r="A170" s="8"/>
      <c r="B170" s="477" t="s">
        <v>201</v>
      </c>
      <c r="C170" s="477"/>
      <c r="D170" s="477"/>
      <c r="E170" s="477"/>
      <c r="F170" s="477"/>
      <c r="G170" s="477"/>
      <c r="H170" s="477"/>
      <c r="I170" s="26">
        <f>SUM(I165:I169)</f>
        <v>4345.4766613484444</v>
      </c>
      <c r="K170" s="7"/>
    </row>
    <row r="171" spans="1:11" x14ac:dyDescent="0.25">
      <c r="A171" s="23" t="s">
        <v>86</v>
      </c>
      <c r="B171" s="472" t="str">
        <f>A150</f>
        <v>MÓDULO 6 – CUSTOS INDIRETOS, TRIBUTOS E LUCRO</v>
      </c>
      <c r="C171" s="472"/>
      <c r="D171" s="472"/>
      <c r="E171" s="472"/>
      <c r="F171" s="472"/>
      <c r="G171" s="472"/>
      <c r="H171" s="472"/>
      <c r="I171" s="25">
        <f>I158</f>
        <v>1507.6143518963991</v>
      </c>
    </row>
    <row r="172" spans="1:11" ht="13" x14ac:dyDescent="0.3">
      <c r="A172" s="485" t="s">
        <v>202</v>
      </c>
      <c r="B172" s="485"/>
      <c r="C172" s="485"/>
      <c r="D172" s="485"/>
      <c r="E172" s="485"/>
      <c r="F172" s="485"/>
      <c r="G172" s="485"/>
      <c r="H172" s="485"/>
      <c r="I172" s="128">
        <f>SUM(I45,I102,I112,I138,I146,I152,I153)/(1-SUM(H155:H157))</f>
        <v>5853.0910132448435</v>
      </c>
    </row>
    <row r="173" spans="1:11" ht="13" x14ac:dyDescent="0.3">
      <c r="A173" s="3"/>
      <c r="B173" s="3"/>
      <c r="C173" s="3"/>
      <c r="D173" s="3"/>
      <c r="E173" s="3"/>
      <c r="F173" s="3"/>
      <c r="G173" s="3"/>
      <c r="H173" s="3"/>
      <c r="I173" s="4"/>
    </row>
    <row r="175" spans="1:11" ht="13" outlineLevel="1" x14ac:dyDescent="0.25">
      <c r="A175" s="517" t="s">
        <v>232</v>
      </c>
      <c r="B175" s="518"/>
      <c r="C175" s="518"/>
      <c r="D175" s="518"/>
      <c r="E175" s="518"/>
      <c r="F175" s="518"/>
      <c r="G175" s="518"/>
      <c r="H175" s="518"/>
      <c r="I175" s="519"/>
    </row>
    <row r="176" spans="1:11" ht="13" outlineLevel="1" x14ac:dyDescent="0.3">
      <c r="A176" s="529"/>
      <c r="B176" s="530"/>
      <c r="C176" s="530"/>
      <c r="D176" s="530"/>
      <c r="E176" s="530"/>
      <c r="F176" s="530"/>
      <c r="G176" s="530"/>
      <c r="H176" s="530"/>
      <c r="I176" s="531"/>
    </row>
    <row r="177" spans="1:11" outlineLevel="1" x14ac:dyDescent="0.25">
      <c r="A177" s="556" t="s">
        <v>29</v>
      </c>
      <c r="B177" s="557"/>
      <c r="C177" s="557"/>
      <c r="D177" s="557"/>
      <c r="E177" s="557"/>
      <c r="F177" s="557"/>
      <c r="G177" s="557"/>
      <c r="H177" s="557"/>
      <c r="I177" s="558"/>
    </row>
    <row r="178" spans="1:11" ht="9.65" customHeight="1" outlineLevel="1" x14ac:dyDescent="0.25">
      <c r="A178" s="559"/>
      <c r="B178" s="560"/>
      <c r="C178" s="560"/>
      <c r="D178" s="560"/>
      <c r="E178" s="560"/>
      <c r="F178" s="560"/>
      <c r="G178" s="560"/>
      <c r="H178" s="560"/>
      <c r="I178" s="561"/>
    </row>
    <row r="179" spans="1:11" ht="39" outlineLevel="1" x14ac:dyDescent="0.3">
      <c r="A179" s="538" t="s">
        <v>207</v>
      </c>
      <c r="B179" s="538"/>
      <c r="C179" s="538"/>
      <c r="D179" s="540" t="s">
        <v>233</v>
      </c>
      <c r="E179" s="477"/>
      <c r="F179" s="477"/>
      <c r="G179" s="540" t="s">
        <v>218</v>
      </c>
      <c r="H179" s="477"/>
      <c r="I179" s="56" t="s">
        <v>212</v>
      </c>
    </row>
    <row r="180" spans="1:11" ht="39.65" customHeight="1" outlineLevel="1" x14ac:dyDescent="0.25">
      <c r="A180" s="541" t="s">
        <v>234</v>
      </c>
      <c r="B180" s="541"/>
      <c r="C180" s="541"/>
      <c r="D180" s="522">
        <v>800</v>
      </c>
      <c r="E180" s="541"/>
      <c r="F180" s="541"/>
      <c r="G180" s="542">
        <f>I172</f>
        <v>5853.0910132448435</v>
      </c>
      <c r="H180" s="541"/>
      <c r="I180" s="293">
        <f>TRUNC((1/D180*G180)/22,2)</f>
        <v>0.33</v>
      </c>
      <c r="K180" s="306" t="s">
        <v>553</v>
      </c>
    </row>
    <row r="181" spans="1:11" ht="13" x14ac:dyDescent="0.3">
      <c r="A181" s="477" t="s">
        <v>214</v>
      </c>
      <c r="B181" s="477"/>
      <c r="C181" s="477"/>
      <c r="D181" s="477"/>
      <c r="E181" s="477"/>
      <c r="F181" s="477"/>
      <c r="G181" s="477"/>
      <c r="H181" s="477"/>
      <c r="I181" s="174">
        <f>SUM(I180:I180)</f>
        <v>0.33</v>
      </c>
    </row>
    <row r="183" spans="1:11" s="41" customFormat="1" x14ac:dyDescent="0.25"/>
  </sheetData>
  <mergeCells count="128">
    <mergeCell ref="A1:I1"/>
    <mergeCell ref="A3:F3"/>
    <mergeCell ref="A4:F4"/>
    <mergeCell ref="A6:F6"/>
    <mergeCell ref="A8:I8"/>
    <mergeCell ref="B9:H9"/>
    <mergeCell ref="A16:B16"/>
    <mergeCell ref="C16:D16"/>
    <mergeCell ref="E16:I16"/>
    <mergeCell ref="A27:I27"/>
    <mergeCell ref="B28:H28"/>
    <mergeCell ref="B29:H29"/>
    <mergeCell ref="B10:H10"/>
    <mergeCell ref="B11:H11"/>
    <mergeCell ref="B12:H12"/>
    <mergeCell ref="A14:I14"/>
    <mergeCell ref="A15:B15"/>
    <mergeCell ref="C15:D15"/>
    <mergeCell ref="E15:I15"/>
    <mergeCell ref="B40:G40"/>
    <mergeCell ref="B41:G41"/>
    <mergeCell ref="B42:G42"/>
    <mergeCell ref="B43:G43"/>
    <mergeCell ref="B44:G44"/>
    <mergeCell ref="A45:H45"/>
    <mergeCell ref="B30:H30"/>
    <mergeCell ref="B31:H31"/>
    <mergeCell ref="B32:H32"/>
    <mergeCell ref="A37:I37"/>
    <mergeCell ref="B38:G38"/>
    <mergeCell ref="B39:G39"/>
    <mergeCell ref="A56:G56"/>
    <mergeCell ref="B66:G66"/>
    <mergeCell ref="B67:G67"/>
    <mergeCell ref="B68:G68"/>
    <mergeCell ref="B69:G69"/>
    <mergeCell ref="B70:G70"/>
    <mergeCell ref="A50:I50"/>
    <mergeCell ref="B51:G51"/>
    <mergeCell ref="B52:G52"/>
    <mergeCell ref="B53:G53"/>
    <mergeCell ref="A54:G54"/>
    <mergeCell ref="B55:G55"/>
    <mergeCell ref="B84:G84"/>
    <mergeCell ref="B85:G85"/>
    <mergeCell ref="B86:G86"/>
    <mergeCell ref="B87:G87"/>
    <mergeCell ref="B88:G88"/>
    <mergeCell ref="B89:G89"/>
    <mergeCell ref="B71:G71"/>
    <mergeCell ref="B72:G72"/>
    <mergeCell ref="B73:G73"/>
    <mergeCell ref="B74:G74"/>
    <mergeCell ref="A75:G75"/>
    <mergeCell ref="B83:G83"/>
    <mergeCell ref="A103:I103"/>
    <mergeCell ref="A104:I104"/>
    <mergeCell ref="B105:G105"/>
    <mergeCell ref="B106:G106"/>
    <mergeCell ref="B107:G107"/>
    <mergeCell ref="B108:G108"/>
    <mergeCell ref="A90:H90"/>
    <mergeCell ref="A98:H98"/>
    <mergeCell ref="B99:H99"/>
    <mergeCell ref="B100:H100"/>
    <mergeCell ref="B101:H101"/>
    <mergeCell ref="A102:H102"/>
    <mergeCell ref="B119:G119"/>
    <mergeCell ref="B120:G120"/>
    <mergeCell ref="B121:G121"/>
    <mergeCell ref="B122:G122"/>
    <mergeCell ref="B123:G123"/>
    <mergeCell ref="B124:G124"/>
    <mergeCell ref="B109:G109"/>
    <mergeCell ref="B110:G110"/>
    <mergeCell ref="B111:G111"/>
    <mergeCell ref="A112:G112"/>
    <mergeCell ref="A113:I113"/>
    <mergeCell ref="A114:I114"/>
    <mergeCell ref="A132:G132"/>
    <mergeCell ref="A134:I134"/>
    <mergeCell ref="B135:G135"/>
    <mergeCell ref="B136:G136"/>
    <mergeCell ref="B137:G137"/>
    <mergeCell ref="A138:H138"/>
    <mergeCell ref="B125:G125"/>
    <mergeCell ref="A126:G126"/>
    <mergeCell ref="B127:G127"/>
    <mergeCell ref="A128:G128"/>
    <mergeCell ref="B130:G130"/>
    <mergeCell ref="B131:G131"/>
    <mergeCell ref="B145:G145"/>
    <mergeCell ref="A146:G146"/>
    <mergeCell ref="A150:I150"/>
    <mergeCell ref="B151:G151"/>
    <mergeCell ref="B152:G152"/>
    <mergeCell ref="B153:G153"/>
    <mergeCell ref="A139:I139"/>
    <mergeCell ref="A140:I140"/>
    <mergeCell ref="B141:G141"/>
    <mergeCell ref="B142:G142"/>
    <mergeCell ref="B143:G143"/>
    <mergeCell ref="B144:G144"/>
    <mergeCell ref="A164:H164"/>
    <mergeCell ref="B165:H165"/>
    <mergeCell ref="B166:H166"/>
    <mergeCell ref="B167:H167"/>
    <mergeCell ref="B168:H168"/>
    <mergeCell ref="B169:H169"/>
    <mergeCell ref="B154:G154"/>
    <mergeCell ref="B155:G155"/>
    <mergeCell ref="B156:G156"/>
    <mergeCell ref="B157:G157"/>
    <mergeCell ref="A158:G158"/>
    <mergeCell ref="A163:I163"/>
    <mergeCell ref="A181:H181"/>
    <mergeCell ref="A179:C179"/>
    <mergeCell ref="D179:F179"/>
    <mergeCell ref="G179:H179"/>
    <mergeCell ref="A180:C180"/>
    <mergeCell ref="D180:F180"/>
    <mergeCell ref="G180:H180"/>
    <mergeCell ref="B170:H170"/>
    <mergeCell ref="B171:H171"/>
    <mergeCell ref="A172:H172"/>
    <mergeCell ref="A175:I175"/>
    <mergeCell ref="A176:I176"/>
    <mergeCell ref="A177:I178"/>
  </mergeCells>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1FAD17-53F9-40ED-9F89-3F78E613D674}">
  <sheetPr>
    <tabColor rgb="FFFFFF00"/>
  </sheetPr>
  <dimension ref="A1:M182"/>
  <sheetViews>
    <sheetView topLeftCell="A142" zoomScale="85" zoomScaleNormal="85" workbookViewId="0">
      <selection activeCell="C16" sqref="C16:D16"/>
    </sheetView>
  </sheetViews>
  <sheetFormatPr defaultRowHeight="12.5" outlineLevelRow="1" x14ac:dyDescent="0.25"/>
  <cols>
    <col min="1" max="1" width="7.7265625" customWidth="1"/>
    <col min="2" max="2" width="15.26953125" customWidth="1"/>
    <col min="4" max="4" width="20.54296875" customWidth="1"/>
    <col min="5" max="5" width="17.7265625" customWidth="1"/>
    <col min="6" max="6" width="12.81640625" customWidth="1"/>
    <col min="7" max="7" width="15.7265625" customWidth="1"/>
    <col min="8" max="8" width="11.81640625" customWidth="1"/>
    <col min="9" max="9" width="17.54296875" customWidth="1"/>
    <col min="10" max="10" width="5" customWidth="1"/>
    <col min="11" max="11" width="26.26953125" customWidth="1"/>
    <col min="12" max="12" width="15.81640625" customWidth="1"/>
    <col min="13" max="13" width="9.54296875" bestFit="1" customWidth="1"/>
  </cols>
  <sheetData>
    <row r="1" spans="1:9" ht="13.5" thickBot="1" x14ac:dyDescent="0.35">
      <c r="A1" s="487" t="s">
        <v>33</v>
      </c>
      <c r="B1" s="488"/>
      <c r="C1" s="488"/>
      <c r="D1" s="488"/>
      <c r="E1" s="488"/>
      <c r="F1" s="488"/>
      <c r="G1" s="488"/>
      <c r="H1" s="488"/>
      <c r="I1" s="527"/>
    </row>
    <row r="2" spans="1:9" x14ac:dyDescent="0.25">
      <c r="A2" s="251"/>
      <c r="B2" s="251"/>
      <c r="C2" s="251"/>
      <c r="D2" s="251"/>
      <c r="E2" s="251"/>
      <c r="F2" s="251"/>
      <c r="G2" s="251"/>
      <c r="H2" s="251"/>
      <c r="I2" s="251"/>
    </row>
    <row r="3" spans="1:9" ht="15" customHeight="1" x14ac:dyDescent="0.25">
      <c r="A3" s="564" t="s">
        <v>35</v>
      </c>
      <c r="B3" s="490"/>
      <c r="C3" s="490"/>
      <c r="D3" s="490"/>
      <c r="E3" s="490"/>
      <c r="F3" s="490"/>
      <c r="G3" s="251"/>
      <c r="H3" s="251"/>
      <c r="I3" s="251"/>
    </row>
    <row r="4" spans="1:9" ht="15" customHeight="1" x14ac:dyDescent="0.25">
      <c r="A4" s="490" t="s">
        <v>37</v>
      </c>
      <c r="B4" s="490"/>
      <c r="C4" s="490"/>
      <c r="D4" s="490"/>
      <c r="E4" s="490"/>
      <c r="F4" s="490"/>
      <c r="G4" s="251"/>
      <c r="H4" s="251"/>
      <c r="I4" s="251"/>
    </row>
    <row r="5" spans="1:9" ht="13" x14ac:dyDescent="0.3">
      <c r="A5" s="10"/>
      <c r="B5" s="10"/>
      <c r="C5" s="10"/>
      <c r="D5" s="10"/>
      <c r="E5" s="10"/>
      <c r="F5" s="10"/>
      <c r="G5" s="10"/>
      <c r="H5" s="10"/>
      <c r="I5" s="10"/>
    </row>
    <row r="6" spans="1:9" ht="13" x14ac:dyDescent="0.3">
      <c r="A6" s="490" t="s">
        <v>38</v>
      </c>
      <c r="B6" s="490"/>
      <c r="C6" s="490"/>
      <c r="D6" s="490"/>
      <c r="E6" s="490"/>
      <c r="F6" s="490"/>
      <c r="G6" s="10"/>
      <c r="H6" s="10"/>
      <c r="I6" s="10"/>
    </row>
    <row r="7" spans="1:9" x14ac:dyDescent="0.25">
      <c r="A7" s="252"/>
      <c r="B7" s="252"/>
      <c r="C7" s="252"/>
      <c r="D7" s="252"/>
      <c r="E7" s="252"/>
      <c r="F7" s="252"/>
      <c r="G7" s="252"/>
      <c r="H7" s="252"/>
      <c r="I7" s="252"/>
    </row>
    <row r="8" spans="1:9" ht="13" x14ac:dyDescent="0.3">
      <c r="A8" s="480" t="s">
        <v>39</v>
      </c>
      <c r="B8" s="480"/>
      <c r="C8" s="480"/>
      <c r="D8" s="480"/>
      <c r="E8" s="480"/>
      <c r="F8" s="480"/>
      <c r="G8" s="480"/>
      <c r="H8" s="480"/>
      <c r="I8" s="480"/>
    </row>
    <row r="9" spans="1:9" x14ac:dyDescent="0.25">
      <c r="A9" s="253" t="s">
        <v>40</v>
      </c>
      <c r="B9" s="478" t="s">
        <v>41</v>
      </c>
      <c r="C9" s="472"/>
      <c r="D9" s="472"/>
      <c r="E9" s="472"/>
      <c r="F9" s="472"/>
      <c r="G9" s="472"/>
      <c r="H9" s="472"/>
      <c r="I9" s="325"/>
    </row>
    <row r="10" spans="1:9" x14ac:dyDescent="0.25">
      <c r="A10" s="253" t="s">
        <v>42</v>
      </c>
      <c r="B10" s="478" t="s">
        <v>43</v>
      </c>
      <c r="C10" s="472"/>
      <c r="D10" s="472"/>
      <c r="E10" s="472"/>
      <c r="F10" s="472"/>
      <c r="G10" s="472"/>
      <c r="H10" s="472"/>
      <c r="I10" s="326" t="s">
        <v>44</v>
      </c>
    </row>
    <row r="11" spans="1:9" x14ac:dyDescent="0.25">
      <c r="A11" s="253" t="s">
        <v>45</v>
      </c>
      <c r="B11" s="478" t="s">
        <v>46</v>
      </c>
      <c r="C11" s="478"/>
      <c r="D11" s="478"/>
      <c r="E11" s="478"/>
      <c r="F11" s="478"/>
      <c r="G11" s="478"/>
      <c r="H11" s="478"/>
      <c r="I11" s="326" t="s">
        <v>230</v>
      </c>
    </row>
    <row r="12" spans="1:9" x14ac:dyDescent="0.25">
      <c r="A12" s="253" t="s">
        <v>48</v>
      </c>
      <c r="B12" s="478" t="s">
        <v>49</v>
      </c>
      <c r="C12" s="472"/>
      <c r="D12" s="472"/>
      <c r="E12" s="472"/>
      <c r="F12" s="472"/>
      <c r="G12" s="472"/>
      <c r="H12" s="472"/>
      <c r="I12" s="327">
        <v>60</v>
      </c>
    </row>
    <row r="13" spans="1:9" x14ac:dyDescent="0.25">
      <c r="A13" s="251"/>
      <c r="B13" s="252"/>
      <c r="C13" s="252"/>
      <c r="D13" s="252"/>
      <c r="E13" s="252"/>
      <c r="F13" s="252"/>
      <c r="G13" s="252"/>
      <c r="H13" s="251"/>
      <c r="I13" s="251"/>
    </row>
    <row r="14" spans="1:9" ht="13" x14ac:dyDescent="0.3">
      <c r="A14" s="480" t="s">
        <v>50</v>
      </c>
      <c r="B14" s="480"/>
      <c r="C14" s="480"/>
      <c r="D14" s="480"/>
      <c r="E14" s="480"/>
      <c r="F14" s="480"/>
      <c r="G14" s="480"/>
      <c r="H14" s="480"/>
      <c r="I14" s="480"/>
    </row>
    <row r="15" spans="1:9" ht="13" x14ac:dyDescent="0.3">
      <c r="A15" s="477" t="s">
        <v>51</v>
      </c>
      <c r="B15" s="477"/>
      <c r="C15" s="477" t="s">
        <v>52</v>
      </c>
      <c r="D15" s="477"/>
      <c r="E15" s="477" t="s">
        <v>53</v>
      </c>
      <c r="F15" s="477"/>
      <c r="G15" s="477"/>
      <c r="H15" s="477"/>
      <c r="I15" s="477"/>
    </row>
    <row r="16" spans="1:9" s="50" customFormat="1" ht="25.5" customHeight="1" x14ac:dyDescent="0.25">
      <c r="A16" s="522" t="s">
        <v>563</v>
      </c>
      <c r="B16" s="521"/>
      <c r="C16" s="522"/>
      <c r="D16" s="521"/>
      <c r="E16" s="565">
        <v>1</v>
      </c>
      <c r="F16" s="566"/>
      <c r="G16" s="566"/>
      <c r="H16" s="566"/>
      <c r="I16" s="567"/>
    </row>
    <row r="17" spans="1:9" ht="15" customHeight="1" x14ac:dyDescent="0.25">
      <c r="A17" s="39"/>
      <c r="B17" s="255"/>
      <c r="C17" s="40"/>
      <c r="D17" s="256"/>
      <c r="E17" s="41"/>
      <c r="F17" s="257"/>
      <c r="G17" s="257"/>
      <c r="H17" s="257"/>
      <c r="I17" s="257"/>
    </row>
    <row r="18" spans="1:9" ht="15" customHeight="1" x14ac:dyDescent="0.25">
      <c r="A18" s="37" t="s">
        <v>55</v>
      </c>
      <c r="B18" s="255"/>
      <c r="C18" s="40"/>
      <c r="D18" s="256"/>
      <c r="E18" s="41"/>
      <c r="F18" s="257"/>
      <c r="G18" s="257"/>
      <c r="H18" s="257"/>
      <c r="I18" s="257"/>
    </row>
    <row r="19" spans="1:9" ht="15" customHeight="1" x14ac:dyDescent="0.25">
      <c r="A19" s="37" t="s">
        <v>56</v>
      </c>
      <c r="B19" s="255"/>
      <c r="C19" s="40"/>
      <c r="D19" s="256"/>
      <c r="E19" s="41"/>
      <c r="F19" s="257"/>
      <c r="G19" s="257"/>
      <c r="H19" s="257"/>
      <c r="I19" s="257"/>
    </row>
    <row r="20" spans="1:9" ht="15" customHeight="1" x14ac:dyDescent="0.25">
      <c r="A20" s="37" t="s">
        <v>57</v>
      </c>
      <c r="B20" s="255"/>
      <c r="C20" s="40"/>
      <c r="D20" s="256"/>
      <c r="E20" s="41"/>
      <c r="F20" s="257"/>
      <c r="G20" s="257"/>
      <c r="H20" s="257"/>
      <c r="I20" s="257"/>
    </row>
    <row r="21" spans="1:9" ht="15" customHeight="1" x14ac:dyDescent="0.25">
      <c r="A21" s="37" t="s">
        <v>58</v>
      </c>
      <c r="B21" s="255"/>
      <c r="C21" s="40"/>
      <c r="D21" s="256"/>
      <c r="E21" s="41"/>
      <c r="F21" s="257"/>
      <c r="G21" s="257"/>
      <c r="H21" s="257"/>
      <c r="I21" s="257"/>
    </row>
    <row r="22" spans="1:9" ht="15" customHeight="1" x14ac:dyDescent="0.25">
      <c r="A22" s="55"/>
      <c r="B22" s="255"/>
      <c r="C22" s="40"/>
      <c r="D22" s="256"/>
      <c r="E22" s="41"/>
      <c r="F22" s="257"/>
      <c r="G22" s="257"/>
      <c r="H22" s="257"/>
      <c r="I22" s="257"/>
    </row>
    <row r="23" spans="1:9" ht="15" customHeight="1" x14ac:dyDescent="0.25">
      <c r="A23" s="38" t="s">
        <v>59</v>
      </c>
      <c r="B23" s="255"/>
      <c r="C23" s="40"/>
      <c r="D23" s="256"/>
      <c r="E23" s="41"/>
      <c r="F23" s="257"/>
      <c r="G23" s="257"/>
      <c r="H23" s="257"/>
      <c r="I23" s="257"/>
    </row>
    <row r="24" spans="1:9" ht="15" customHeight="1" x14ac:dyDescent="0.25">
      <c r="A24" s="39"/>
      <c r="B24" s="255"/>
      <c r="C24" s="40"/>
      <c r="D24" s="256"/>
      <c r="E24" s="41"/>
      <c r="F24" s="257"/>
      <c r="G24" s="257"/>
      <c r="H24" s="257"/>
      <c r="I24" s="257"/>
    </row>
    <row r="25" spans="1:9" ht="15" customHeight="1" x14ac:dyDescent="0.25">
      <c r="A25" s="38" t="s">
        <v>60</v>
      </c>
      <c r="B25" s="255"/>
      <c r="C25" s="40"/>
      <c r="D25" s="256"/>
      <c r="E25" s="41"/>
      <c r="F25" s="257"/>
      <c r="G25" s="257"/>
      <c r="H25" s="257"/>
      <c r="I25" s="257"/>
    </row>
    <row r="26" spans="1:9" ht="15" customHeight="1" x14ac:dyDescent="0.25">
      <c r="A26" s="37" t="s">
        <v>61</v>
      </c>
      <c r="B26" s="255"/>
      <c r="C26" s="40"/>
      <c r="D26" s="256"/>
      <c r="E26" s="41"/>
      <c r="F26" s="257"/>
      <c r="G26" s="257"/>
      <c r="H26" s="257"/>
      <c r="I26" s="257"/>
    </row>
    <row r="27" spans="1:9" ht="13" x14ac:dyDescent="0.3">
      <c r="A27" s="480" t="s">
        <v>62</v>
      </c>
      <c r="B27" s="480"/>
      <c r="C27" s="480"/>
      <c r="D27" s="480"/>
      <c r="E27" s="480"/>
      <c r="F27" s="480"/>
      <c r="G27" s="480"/>
      <c r="H27" s="480"/>
      <c r="I27" s="480"/>
    </row>
    <row r="28" spans="1:9" ht="37.5" x14ac:dyDescent="0.25">
      <c r="A28" s="254">
        <v>1</v>
      </c>
      <c r="B28" s="516" t="s">
        <v>63</v>
      </c>
      <c r="C28" s="516"/>
      <c r="D28" s="516"/>
      <c r="E28" s="516"/>
      <c r="F28" s="516"/>
      <c r="G28" s="516"/>
      <c r="H28" s="516"/>
      <c r="I28" s="337" t="str">
        <f>A16</f>
        <v>Remanejamento de Equipamentos e móveis</v>
      </c>
    </row>
    <row r="29" spans="1:9" x14ac:dyDescent="0.25">
      <c r="A29" s="253">
        <v>2</v>
      </c>
      <c r="B29" s="478" t="s">
        <v>64</v>
      </c>
      <c r="C29" s="478"/>
      <c r="D29" s="478"/>
      <c r="E29" s="478"/>
      <c r="F29" s="478"/>
      <c r="G29" s="478"/>
      <c r="H29" s="478"/>
      <c r="I29" s="338" t="s">
        <v>65</v>
      </c>
    </row>
    <row r="30" spans="1:9" x14ac:dyDescent="0.25">
      <c r="A30" s="253">
        <v>3</v>
      </c>
      <c r="B30" s="472" t="s">
        <v>67</v>
      </c>
      <c r="C30" s="472"/>
      <c r="D30" s="472"/>
      <c r="E30" s="472"/>
      <c r="F30" s="472"/>
      <c r="G30" s="472"/>
      <c r="H30" s="472"/>
      <c r="I30" s="339">
        <v>1743.69</v>
      </c>
    </row>
    <row r="31" spans="1:9" x14ac:dyDescent="0.25">
      <c r="A31" s="254">
        <v>4</v>
      </c>
      <c r="B31" s="516" t="s">
        <v>68</v>
      </c>
      <c r="C31" s="516"/>
      <c r="D31" s="516"/>
      <c r="E31" s="516"/>
      <c r="F31" s="516"/>
      <c r="G31" s="516"/>
      <c r="H31" s="516"/>
      <c r="I31" s="340" t="s">
        <v>69</v>
      </c>
    </row>
    <row r="32" spans="1:9" x14ac:dyDescent="0.25">
      <c r="A32" s="253">
        <v>5</v>
      </c>
      <c r="B32" s="478" t="s">
        <v>71</v>
      </c>
      <c r="C32" s="472"/>
      <c r="D32" s="472"/>
      <c r="E32" s="472"/>
      <c r="F32" s="472"/>
      <c r="G32" s="472"/>
      <c r="H32" s="472"/>
      <c r="I32" s="325">
        <v>45686</v>
      </c>
    </row>
    <row r="33" spans="1:10" x14ac:dyDescent="0.25">
      <c r="A33" s="251"/>
      <c r="B33" s="252"/>
      <c r="C33" s="252"/>
      <c r="D33" s="252"/>
      <c r="E33" s="252"/>
      <c r="F33" s="252"/>
      <c r="G33" s="252"/>
      <c r="H33" s="252"/>
      <c r="I33" s="258"/>
    </row>
    <row r="34" spans="1:10" ht="13" x14ac:dyDescent="0.25">
      <c r="A34" s="37" t="s">
        <v>72</v>
      </c>
      <c r="B34" s="252"/>
      <c r="C34" s="252"/>
      <c r="D34" s="252"/>
      <c r="E34" s="252"/>
      <c r="F34" s="252"/>
      <c r="G34" s="252"/>
      <c r="H34" s="252"/>
      <c r="I34" s="258"/>
    </row>
    <row r="35" spans="1:10" ht="13" x14ac:dyDescent="0.25">
      <c r="A35" s="37" t="s">
        <v>73</v>
      </c>
      <c r="B35" s="252"/>
      <c r="C35" s="252"/>
      <c r="D35" s="252"/>
      <c r="E35" s="252"/>
      <c r="F35" s="252"/>
      <c r="G35" s="252"/>
      <c r="H35" s="252"/>
      <c r="I35" s="258"/>
    </row>
    <row r="37" spans="1:10" ht="13" x14ac:dyDescent="0.3">
      <c r="A37" s="492" t="s">
        <v>74</v>
      </c>
      <c r="B37" s="492"/>
      <c r="C37" s="492"/>
      <c r="D37" s="492"/>
      <c r="E37" s="492"/>
      <c r="F37" s="492"/>
      <c r="G37" s="492"/>
      <c r="H37" s="492"/>
      <c r="I37" s="492"/>
    </row>
    <row r="38" spans="1:10" ht="13" x14ac:dyDescent="0.3">
      <c r="A38" s="8">
        <v>1</v>
      </c>
      <c r="B38" s="477" t="s">
        <v>75</v>
      </c>
      <c r="C38" s="477"/>
      <c r="D38" s="477"/>
      <c r="E38" s="477"/>
      <c r="F38" s="477"/>
      <c r="G38" s="477"/>
      <c r="H38" s="8" t="s">
        <v>76</v>
      </c>
      <c r="I38" s="8" t="s">
        <v>77</v>
      </c>
    </row>
    <row r="39" spans="1:10" ht="13" x14ac:dyDescent="0.3">
      <c r="A39" s="8" t="s">
        <v>40</v>
      </c>
      <c r="B39" s="478" t="s">
        <v>78</v>
      </c>
      <c r="C39" s="478"/>
      <c r="D39" s="478"/>
      <c r="E39" s="478"/>
      <c r="F39" s="478"/>
      <c r="G39" s="478"/>
      <c r="H39" s="22"/>
      <c r="I39" s="164">
        <f>I30</f>
        <v>1743.69</v>
      </c>
    </row>
    <row r="40" spans="1:10" ht="13" x14ac:dyDescent="0.3">
      <c r="A40" s="8" t="s">
        <v>42</v>
      </c>
      <c r="B40" s="478" t="s">
        <v>79</v>
      </c>
      <c r="C40" s="478"/>
      <c r="D40" s="478"/>
      <c r="E40" s="478"/>
      <c r="F40" s="478"/>
      <c r="G40" s="478"/>
      <c r="H40" s="2"/>
      <c r="I40" s="164">
        <f>I39*H40</f>
        <v>0</v>
      </c>
      <c r="J40" s="32" t="s">
        <v>80</v>
      </c>
    </row>
    <row r="41" spans="1:10" ht="13" x14ac:dyDescent="0.3">
      <c r="A41" s="8" t="s">
        <v>45</v>
      </c>
      <c r="B41" s="478" t="s">
        <v>81</v>
      </c>
      <c r="C41" s="478"/>
      <c r="D41" s="478"/>
      <c r="E41" s="478"/>
      <c r="F41" s="478"/>
      <c r="G41" s="478"/>
      <c r="H41" s="2"/>
      <c r="I41" s="164">
        <f>H41*I39</f>
        <v>0</v>
      </c>
    </row>
    <row r="42" spans="1:10" ht="13" x14ac:dyDescent="0.3">
      <c r="A42" s="8" t="s">
        <v>48</v>
      </c>
      <c r="B42" s="478" t="s">
        <v>82</v>
      </c>
      <c r="C42" s="478"/>
      <c r="D42" s="478"/>
      <c r="E42" s="478"/>
      <c r="F42" s="478"/>
      <c r="G42" s="478"/>
      <c r="H42" s="2"/>
      <c r="I42" s="164">
        <v>0</v>
      </c>
      <c r="J42" s="32" t="s">
        <v>83</v>
      </c>
    </row>
    <row r="43" spans="1:10" ht="13" x14ac:dyDescent="0.3">
      <c r="A43" s="8" t="s">
        <v>84</v>
      </c>
      <c r="B43" s="478" t="s">
        <v>85</v>
      </c>
      <c r="C43" s="478"/>
      <c r="D43" s="478"/>
      <c r="E43" s="478"/>
      <c r="F43" s="478"/>
      <c r="G43" s="478"/>
      <c r="H43" s="5"/>
      <c r="I43" s="164">
        <v>0</v>
      </c>
      <c r="J43" s="32" t="s">
        <v>83</v>
      </c>
    </row>
    <row r="44" spans="1:10" ht="13" x14ac:dyDescent="0.3">
      <c r="A44" s="8" t="s">
        <v>86</v>
      </c>
      <c r="B44" s="478" t="s">
        <v>87</v>
      </c>
      <c r="C44" s="478"/>
      <c r="D44" s="478"/>
      <c r="E44" s="478"/>
      <c r="F44" s="478"/>
      <c r="G44" s="478"/>
      <c r="H44" s="2"/>
      <c r="I44" s="164">
        <v>0</v>
      </c>
    </row>
    <row r="45" spans="1:10" ht="13" x14ac:dyDescent="0.3">
      <c r="A45" s="485" t="s">
        <v>88</v>
      </c>
      <c r="B45" s="480"/>
      <c r="C45" s="480"/>
      <c r="D45" s="480"/>
      <c r="E45" s="480"/>
      <c r="F45" s="480"/>
      <c r="G45" s="480"/>
      <c r="H45" s="480"/>
      <c r="I45" s="165">
        <f>SUM(I39:I44)</f>
        <v>1743.69</v>
      </c>
    </row>
    <row r="46" spans="1:10" s="10" customFormat="1" ht="13" x14ac:dyDescent="0.3"/>
    <row r="47" spans="1:10" s="10" customFormat="1" ht="13" x14ac:dyDescent="0.3">
      <c r="A47" s="37" t="s">
        <v>89</v>
      </c>
    </row>
    <row r="48" spans="1:10" s="10" customFormat="1" ht="13" x14ac:dyDescent="0.3">
      <c r="A48" s="37" t="s">
        <v>90</v>
      </c>
    </row>
    <row r="49" spans="1:11" ht="13" x14ac:dyDescent="0.3">
      <c r="A49" s="3"/>
      <c r="B49" s="3"/>
      <c r="C49" s="3"/>
      <c r="D49" s="3"/>
      <c r="E49" s="3"/>
      <c r="F49" s="3"/>
      <c r="G49" s="3"/>
      <c r="H49" s="3"/>
      <c r="I49" s="4"/>
    </row>
    <row r="50" spans="1:11" ht="13" x14ac:dyDescent="0.3">
      <c r="A50" s="492" t="s">
        <v>91</v>
      </c>
      <c r="B50" s="492"/>
      <c r="C50" s="492"/>
      <c r="D50" s="492"/>
      <c r="E50" s="492"/>
      <c r="F50" s="492"/>
      <c r="G50" s="492"/>
      <c r="H50" s="492"/>
      <c r="I50" s="492"/>
    </row>
    <row r="51" spans="1:11" ht="13" x14ac:dyDescent="0.3">
      <c r="A51" s="47" t="s">
        <v>92</v>
      </c>
      <c r="B51" s="508" t="s">
        <v>93</v>
      </c>
      <c r="C51" s="509"/>
      <c r="D51" s="509"/>
      <c r="E51" s="509"/>
      <c r="F51" s="509"/>
      <c r="G51" s="510"/>
      <c r="H51" s="8" t="s">
        <v>76</v>
      </c>
      <c r="I51" s="8" t="s">
        <v>77</v>
      </c>
    </row>
    <row r="52" spans="1:11" ht="13" x14ac:dyDescent="0.3">
      <c r="A52" s="8" t="s">
        <v>40</v>
      </c>
      <c r="B52" s="478" t="s">
        <v>94</v>
      </c>
      <c r="C52" s="478"/>
      <c r="D52" s="478"/>
      <c r="E52" s="478"/>
      <c r="F52" s="478"/>
      <c r="G52" s="478"/>
      <c r="H52" s="1">
        <f>1/12</f>
        <v>8.3333333333333329E-2</v>
      </c>
      <c r="I52" s="25">
        <f>$I$45*H52</f>
        <v>145.3075</v>
      </c>
      <c r="K52" s="87"/>
    </row>
    <row r="53" spans="1:11" ht="13" x14ac:dyDescent="0.3">
      <c r="A53" s="8" t="s">
        <v>42</v>
      </c>
      <c r="B53" s="478" t="s">
        <v>95</v>
      </c>
      <c r="C53" s="478"/>
      <c r="D53" s="478"/>
      <c r="E53" s="478"/>
      <c r="F53" s="478"/>
      <c r="G53" s="478"/>
      <c r="H53" s="24">
        <v>0.121</v>
      </c>
      <c r="I53" s="25">
        <f>$I$45*H53</f>
        <v>210.98649</v>
      </c>
    </row>
    <row r="54" spans="1:11" ht="13" x14ac:dyDescent="0.3">
      <c r="A54" s="480" t="s">
        <v>96</v>
      </c>
      <c r="B54" s="480"/>
      <c r="C54" s="480"/>
      <c r="D54" s="480"/>
      <c r="E54" s="480"/>
      <c r="F54" s="480"/>
      <c r="G54" s="480"/>
      <c r="H54" s="42">
        <f>TRUNC(SUM(H52:H53),4)</f>
        <v>0.20430000000000001</v>
      </c>
      <c r="I54" s="43">
        <f>SUM(I52:I53)</f>
        <v>356.29399000000001</v>
      </c>
    </row>
    <row r="55" spans="1:11" ht="22" customHeight="1" x14ac:dyDescent="0.25">
      <c r="A55" s="47" t="s">
        <v>45</v>
      </c>
      <c r="B55" s="481" t="s">
        <v>97</v>
      </c>
      <c r="C55" s="481"/>
      <c r="D55" s="481"/>
      <c r="E55" s="481"/>
      <c r="F55" s="481"/>
      <c r="G55" s="481"/>
      <c r="H55" s="160">
        <f>H54*H75</f>
        <v>7.518240000000001E-2</v>
      </c>
      <c r="I55" s="161">
        <f>$I$45*H55</f>
        <v>131.09479905600003</v>
      </c>
    </row>
    <row r="56" spans="1:11" ht="13" x14ac:dyDescent="0.3">
      <c r="A56" s="480" t="s">
        <v>98</v>
      </c>
      <c r="B56" s="480"/>
      <c r="C56" s="480"/>
      <c r="D56" s="480"/>
      <c r="E56" s="480"/>
      <c r="F56" s="480"/>
      <c r="G56" s="480"/>
      <c r="H56" s="42">
        <f>TRUNC(SUM(H54:H55),4)</f>
        <v>0.27939999999999998</v>
      </c>
      <c r="I56" s="43">
        <f>SUM(I54:I55)</f>
        <v>487.38878905600006</v>
      </c>
    </row>
    <row r="57" spans="1:11" ht="13" x14ac:dyDescent="0.3">
      <c r="A57" s="3"/>
      <c r="B57" s="3"/>
      <c r="C57" s="3"/>
      <c r="D57" s="3"/>
      <c r="E57" s="3"/>
      <c r="F57" s="3"/>
      <c r="G57" s="3"/>
      <c r="H57" s="44"/>
      <c r="I57" s="4"/>
    </row>
    <row r="58" spans="1:11" ht="13" x14ac:dyDescent="0.3">
      <c r="A58" s="37" t="s">
        <v>99</v>
      </c>
      <c r="B58" s="3"/>
      <c r="C58" s="3"/>
      <c r="D58" s="3"/>
      <c r="E58" s="3"/>
      <c r="F58" s="3"/>
      <c r="G58" s="3"/>
      <c r="H58" s="44"/>
      <c r="I58" s="4"/>
    </row>
    <row r="59" spans="1:11" ht="13" x14ac:dyDescent="0.3">
      <c r="A59" s="37" t="s">
        <v>100</v>
      </c>
      <c r="B59" s="3"/>
      <c r="C59" s="3"/>
      <c r="D59" s="3"/>
      <c r="E59" s="3"/>
      <c r="F59" s="3"/>
      <c r="G59" s="3"/>
      <c r="H59" s="44"/>
      <c r="I59" s="4"/>
    </row>
    <row r="60" spans="1:11" ht="13" x14ac:dyDescent="0.3">
      <c r="A60" s="37" t="s">
        <v>101</v>
      </c>
      <c r="B60" s="3"/>
      <c r="C60" s="3"/>
      <c r="D60" s="3"/>
      <c r="E60" s="3"/>
      <c r="F60" s="3"/>
      <c r="G60" s="3"/>
      <c r="H60" s="44"/>
      <c r="I60" s="4"/>
    </row>
    <row r="61" spans="1:11" ht="13" x14ac:dyDescent="0.3">
      <c r="A61" s="37" t="s">
        <v>102</v>
      </c>
      <c r="B61" s="10"/>
      <c r="C61" s="10"/>
      <c r="D61" s="10"/>
      <c r="E61" s="10"/>
      <c r="F61" s="10"/>
      <c r="G61" s="10"/>
      <c r="H61" s="10"/>
      <c r="I61" s="10"/>
    </row>
    <row r="62" spans="1:11" ht="13" x14ac:dyDescent="0.3">
      <c r="A62" s="37" t="s">
        <v>103</v>
      </c>
      <c r="B62" s="10"/>
      <c r="C62" s="10"/>
      <c r="D62" s="10"/>
      <c r="E62" s="10"/>
      <c r="F62" s="10"/>
      <c r="G62" s="10"/>
      <c r="H62" s="10"/>
      <c r="I62" s="10"/>
    </row>
    <row r="63" spans="1:11" ht="13" x14ac:dyDescent="0.3">
      <c r="A63" s="37"/>
      <c r="B63" s="10"/>
      <c r="C63" s="10"/>
      <c r="D63" s="10"/>
      <c r="E63" s="10"/>
      <c r="F63" s="10"/>
      <c r="G63" s="10"/>
      <c r="H63" s="10"/>
      <c r="I63" s="10"/>
    </row>
    <row r="64" spans="1:11" ht="13" x14ac:dyDescent="0.3">
      <c r="A64" s="37"/>
      <c r="B64" s="10"/>
      <c r="C64" s="10"/>
      <c r="D64" s="10"/>
      <c r="E64" s="10"/>
      <c r="F64" s="10"/>
      <c r="G64" s="10"/>
      <c r="H64" s="10"/>
      <c r="I64" s="10"/>
    </row>
    <row r="65" spans="1:12" ht="13" x14ac:dyDescent="0.3">
      <c r="A65" s="45"/>
      <c r="B65" s="45"/>
      <c r="C65" s="45"/>
      <c r="D65" s="45"/>
      <c r="E65" s="45"/>
      <c r="F65" s="45"/>
      <c r="G65" s="45"/>
      <c r="H65" s="45"/>
      <c r="I65" s="45"/>
    </row>
    <row r="66" spans="1:12" ht="13" x14ac:dyDescent="0.3">
      <c r="A66" s="49" t="s">
        <v>104</v>
      </c>
      <c r="B66" s="517" t="s">
        <v>105</v>
      </c>
      <c r="C66" s="518"/>
      <c r="D66" s="518"/>
      <c r="E66" s="518"/>
      <c r="F66" s="518"/>
      <c r="G66" s="519"/>
      <c r="H66" s="34" t="s">
        <v>76</v>
      </c>
      <c r="I66" s="34" t="s">
        <v>77</v>
      </c>
      <c r="K66" s="32"/>
      <c r="L66" s="31"/>
    </row>
    <row r="67" spans="1:12" ht="13" x14ac:dyDescent="0.3">
      <c r="A67" s="8" t="s">
        <v>40</v>
      </c>
      <c r="B67" s="478" t="s">
        <v>106</v>
      </c>
      <c r="C67" s="478"/>
      <c r="D67" s="478"/>
      <c r="E67" s="478"/>
      <c r="F67" s="478"/>
      <c r="G67" s="478"/>
      <c r="H67" s="1">
        <v>0.2</v>
      </c>
      <c r="I67" s="25">
        <f t="shared" ref="I67:I74" si="0">H67*($I$45)</f>
        <v>348.73800000000006</v>
      </c>
      <c r="K67" s="33"/>
      <c r="L67" s="31"/>
    </row>
    <row r="68" spans="1:12" ht="13" x14ac:dyDescent="0.3">
      <c r="A68" s="8" t="s">
        <v>42</v>
      </c>
      <c r="B68" s="478" t="s">
        <v>107</v>
      </c>
      <c r="C68" s="478"/>
      <c r="D68" s="478"/>
      <c r="E68" s="478"/>
      <c r="F68" s="478"/>
      <c r="G68" s="478"/>
      <c r="H68" s="1">
        <v>2.5000000000000001E-2</v>
      </c>
      <c r="I68" s="25">
        <f t="shared" si="0"/>
        <v>43.592250000000007</v>
      </c>
      <c r="K68" s="32"/>
    </row>
    <row r="69" spans="1:12" ht="13" x14ac:dyDescent="0.3">
      <c r="A69" s="8" t="s">
        <v>45</v>
      </c>
      <c r="B69" s="478" t="s">
        <v>108</v>
      </c>
      <c r="C69" s="478"/>
      <c r="D69" s="478"/>
      <c r="E69" s="478"/>
      <c r="F69" s="478"/>
      <c r="G69" s="478"/>
      <c r="H69" s="1">
        <v>0.03</v>
      </c>
      <c r="I69" s="25">
        <f t="shared" si="0"/>
        <v>52.310699999999997</v>
      </c>
      <c r="J69" s="32" t="s">
        <v>109</v>
      </c>
      <c r="K69" s="32"/>
    </row>
    <row r="70" spans="1:12" ht="13" x14ac:dyDescent="0.3">
      <c r="A70" s="8" t="s">
        <v>48</v>
      </c>
      <c r="B70" s="478" t="s">
        <v>110</v>
      </c>
      <c r="C70" s="478"/>
      <c r="D70" s="478"/>
      <c r="E70" s="478"/>
      <c r="F70" s="478"/>
      <c r="G70" s="478"/>
      <c r="H70" s="1">
        <v>1.4999999999999999E-2</v>
      </c>
      <c r="I70" s="25">
        <f t="shared" si="0"/>
        <v>26.155349999999999</v>
      </c>
    </row>
    <row r="71" spans="1:12" ht="13" x14ac:dyDescent="0.3">
      <c r="A71" s="8" t="s">
        <v>84</v>
      </c>
      <c r="B71" s="478" t="s">
        <v>111</v>
      </c>
      <c r="C71" s="478"/>
      <c r="D71" s="478"/>
      <c r="E71" s="478"/>
      <c r="F71" s="478"/>
      <c r="G71" s="478"/>
      <c r="H71" s="1">
        <v>0.01</v>
      </c>
      <c r="I71" s="25">
        <f t="shared" si="0"/>
        <v>17.436900000000001</v>
      </c>
    </row>
    <row r="72" spans="1:12" ht="13" x14ac:dyDescent="0.3">
      <c r="A72" s="8" t="s">
        <v>86</v>
      </c>
      <c r="B72" s="478" t="s">
        <v>112</v>
      </c>
      <c r="C72" s="478"/>
      <c r="D72" s="478"/>
      <c r="E72" s="478"/>
      <c r="F72" s="478"/>
      <c r="G72" s="478"/>
      <c r="H72" s="1">
        <v>6.0000000000000001E-3</v>
      </c>
      <c r="I72" s="25">
        <f t="shared" si="0"/>
        <v>10.46214</v>
      </c>
    </row>
    <row r="73" spans="1:12" ht="13" x14ac:dyDescent="0.3">
      <c r="A73" s="8" t="s">
        <v>113</v>
      </c>
      <c r="B73" s="478" t="s">
        <v>114</v>
      </c>
      <c r="C73" s="478"/>
      <c r="D73" s="478"/>
      <c r="E73" s="478"/>
      <c r="F73" s="478"/>
      <c r="G73" s="478"/>
      <c r="H73" s="1">
        <v>2E-3</v>
      </c>
      <c r="I73" s="25">
        <f t="shared" si="0"/>
        <v>3.4873800000000004</v>
      </c>
    </row>
    <row r="74" spans="1:12" ht="13" x14ac:dyDescent="0.3">
      <c r="A74" s="8" t="s">
        <v>115</v>
      </c>
      <c r="B74" s="478" t="s">
        <v>116</v>
      </c>
      <c r="C74" s="478"/>
      <c r="D74" s="478"/>
      <c r="E74" s="478"/>
      <c r="F74" s="478"/>
      <c r="G74" s="478"/>
      <c r="H74" s="1">
        <v>0.08</v>
      </c>
      <c r="I74" s="25">
        <f t="shared" si="0"/>
        <v>139.49520000000001</v>
      </c>
    </row>
    <row r="75" spans="1:12" ht="13" x14ac:dyDescent="0.3">
      <c r="A75" s="480" t="s">
        <v>11</v>
      </c>
      <c r="B75" s="480"/>
      <c r="C75" s="480"/>
      <c r="D75" s="480"/>
      <c r="E75" s="480"/>
      <c r="F75" s="480"/>
      <c r="G75" s="480"/>
      <c r="H75" s="42">
        <f>SUM(H67:H74)</f>
        <v>0.36800000000000005</v>
      </c>
      <c r="I75" s="43">
        <f>SUM(I67:I74)</f>
        <v>641.67792000000009</v>
      </c>
      <c r="K75" s="21"/>
    </row>
    <row r="76" spans="1:12" ht="13" x14ac:dyDescent="0.3">
      <c r="A76" s="3"/>
      <c r="B76" s="3"/>
      <c r="C76" s="3"/>
      <c r="D76" s="3"/>
      <c r="E76" s="3"/>
      <c r="F76" s="3"/>
      <c r="G76" s="3"/>
      <c r="H76" s="44"/>
      <c r="I76" s="4"/>
      <c r="K76" s="21"/>
    </row>
    <row r="77" spans="1:12" ht="13" x14ac:dyDescent="0.3">
      <c r="A77" s="37" t="s">
        <v>117</v>
      </c>
      <c r="B77" s="3"/>
      <c r="C77" s="3"/>
      <c r="D77" s="3"/>
      <c r="E77" s="3"/>
      <c r="F77" s="3"/>
      <c r="G77" s="3"/>
      <c r="H77" s="44"/>
      <c r="I77" s="4"/>
      <c r="K77" s="21"/>
    </row>
    <row r="78" spans="1:12" ht="13" x14ac:dyDescent="0.3">
      <c r="A78" s="37" t="s">
        <v>118</v>
      </c>
      <c r="B78" s="3"/>
      <c r="C78" s="3"/>
      <c r="D78" s="3"/>
      <c r="E78" s="3"/>
      <c r="F78" s="3"/>
      <c r="G78" s="3"/>
      <c r="H78" s="44"/>
      <c r="I78" s="4"/>
      <c r="K78" s="21"/>
    </row>
    <row r="79" spans="1:12" ht="13" x14ac:dyDescent="0.3">
      <c r="A79" s="37" t="s">
        <v>119</v>
      </c>
      <c r="B79" s="3"/>
      <c r="C79" s="3"/>
      <c r="D79" s="3"/>
      <c r="E79" s="3"/>
      <c r="F79" s="3"/>
      <c r="G79" s="3"/>
      <c r="H79" s="44"/>
      <c r="I79" s="4"/>
      <c r="K79" s="21"/>
    </row>
    <row r="80" spans="1:12" ht="13" x14ac:dyDescent="0.3">
      <c r="A80" s="37" t="s">
        <v>120</v>
      </c>
      <c r="B80" s="3"/>
      <c r="C80" s="3"/>
      <c r="D80" s="3"/>
      <c r="E80" s="3"/>
      <c r="F80" s="3"/>
      <c r="G80" s="3"/>
      <c r="H80" s="44"/>
      <c r="I80" s="4"/>
      <c r="K80" s="21"/>
    </row>
    <row r="81" spans="1:11" ht="13" x14ac:dyDescent="0.3">
      <c r="A81" s="37" t="s">
        <v>121</v>
      </c>
      <c r="B81" s="3"/>
      <c r="C81" s="3"/>
      <c r="D81" s="3"/>
      <c r="E81" s="3"/>
      <c r="F81" s="3"/>
      <c r="G81" s="3"/>
      <c r="H81" s="44"/>
      <c r="I81" s="4"/>
      <c r="K81" s="21"/>
    </row>
    <row r="82" spans="1:11" ht="13" x14ac:dyDescent="0.3">
      <c r="A82" s="10"/>
      <c r="B82" s="10"/>
      <c r="C82" s="10"/>
      <c r="D82" s="10"/>
      <c r="E82" s="10"/>
      <c r="F82" s="10"/>
      <c r="G82" s="10"/>
      <c r="H82" s="10"/>
      <c r="I82" s="10"/>
    </row>
    <row r="83" spans="1:11" ht="13" x14ac:dyDescent="0.3">
      <c r="A83" s="49" t="s">
        <v>122</v>
      </c>
      <c r="B83" s="495" t="s">
        <v>123</v>
      </c>
      <c r="C83" s="496"/>
      <c r="D83" s="496"/>
      <c r="E83" s="496"/>
      <c r="F83" s="496"/>
      <c r="G83" s="497"/>
      <c r="H83" s="42"/>
      <c r="I83" s="34" t="s">
        <v>77</v>
      </c>
    </row>
    <row r="84" spans="1:11" ht="13" customHeight="1" x14ac:dyDescent="0.3">
      <c r="A84" s="8" t="s">
        <v>40</v>
      </c>
      <c r="B84" s="486" t="s">
        <v>124</v>
      </c>
      <c r="C84" s="486"/>
      <c r="D84" s="486"/>
      <c r="E84" s="486"/>
      <c r="F84" s="486"/>
      <c r="G84" s="486"/>
      <c r="H84" s="23" t="s">
        <v>125</v>
      </c>
      <c r="I84" s="27">
        <f>'Mód2.3 '!E12</f>
        <v>137.37860000000001</v>
      </c>
    </row>
    <row r="85" spans="1:11" ht="13" customHeight="1" x14ac:dyDescent="0.3">
      <c r="A85" s="8" t="s">
        <v>42</v>
      </c>
      <c r="B85" s="486" t="s">
        <v>126</v>
      </c>
      <c r="C85" s="486"/>
      <c r="D85" s="486"/>
      <c r="E85" s="486"/>
      <c r="F85" s="486"/>
      <c r="G85" s="486"/>
      <c r="H85" s="23" t="s">
        <v>125</v>
      </c>
      <c r="I85" s="27">
        <f>'Mód2.3 '!E25</f>
        <v>974.59999999999991</v>
      </c>
    </row>
    <row r="86" spans="1:11" ht="13" customHeight="1" x14ac:dyDescent="0.3">
      <c r="A86" s="8" t="s">
        <v>45</v>
      </c>
      <c r="B86" s="486" t="s">
        <v>127</v>
      </c>
      <c r="C86" s="486"/>
      <c r="D86" s="486"/>
      <c r="E86" s="486"/>
      <c r="F86" s="486"/>
      <c r="G86" s="486"/>
      <c r="H86" s="23" t="s">
        <v>125</v>
      </c>
      <c r="I86" s="27">
        <f>'Mód2.3 '!E33</f>
        <v>0</v>
      </c>
    </row>
    <row r="87" spans="1:11" ht="15" customHeight="1" x14ac:dyDescent="0.3">
      <c r="A87" s="47" t="s">
        <v>48</v>
      </c>
      <c r="B87" s="551" t="s">
        <v>128</v>
      </c>
      <c r="C87" s="486"/>
      <c r="D87" s="486"/>
      <c r="E87" s="486"/>
      <c r="F87" s="486"/>
      <c r="G87" s="486"/>
      <c r="H87" s="36" t="s">
        <v>125</v>
      </c>
      <c r="I87" s="166">
        <f>'Mód2.3 '!E42</f>
        <v>13.64</v>
      </c>
    </row>
    <row r="88" spans="1:11" ht="13" customHeight="1" x14ac:dyDescent="0.3">
      <c r="A88" s="8" t="s">
        <v>84</v>
      </c>
      <c r="B88" s="486" t="s">
        <v>130</v>
      </c>
      <c r="C88" s="486"/>
      <c r="D88" s="486"/>
      <c r="E88" s="486"/>
      <c r="F88" s="486"/>
      <c r="G88" s="486"/>
      <c r="H88" s="23" t="s">
        <v>125</v>
      </c>
      <c r="I88" s="27">
        <f>'Mód2.3 '!E52</f>
        <v>3.61</v>
      </c>
    </row>
    <row r="89" spans="1:11" ht="13" x14ac:dyDescent="0.3">
      <c r="A89" s="8"/>
      <c r="B89" s="486"/>
      <c r="C89" s="486"/>
      <c r="D89" s="486"/>
      <c r="E89" s="486"/>
      <c r="F89" s="486"/>
      <c r="G89" s="486"/>
      <c r="H89" s="23"/>
      <c r="I89" s="27"/>
    </row>
    <row r="90" spans="1:11" ht="13" x14ac:dyDescent="0.3">
      <c r="A90" s="480" t="s">
        <v>132</v>
      </c>
      <c r="B90" s="480"/>
      <c r="C90" s="480"/>
      <c r="D90" s="480"/>
      <c r="E90" s="480"/>
      <c r="F90" s="480"/>
      <c r="G90" s="480"/>
      <c r="H90" s="480"/>
      <c r="I90" s="43">
        <f>SUM(I84:I89)</f>
        <v>1129.2285999999999</v>
      </c>
    </row>
    <row r="91" spans="1:11" ht="13" x14ac:dyDescent="0.3">
      <c r="A91" s="3"/>
      <c r="B91" s="3"/>
      <c r="C91" s="3"/>
      <c r="D91" s="3"/>
      <c r="E91" s="3"/>
      <c r="F91" s="3"/>
      <c r="G91" s="3"/>
      <c r="H91" s="3"/>
      <c r="I91" s="4"/>
    </row>
    <row r="92" spans="1:11" ht="13" x14ac:dyDescent="0.3">
      <c r="A92" s="37" t="s">
        <v>133</v>
      </c>
      <c r="B92" s="3"/>
      <c r="C92" s="3"/>
      <c r="D92" s="3"/>
      <c r="E92" s="3"/>
      <c r="F92" s="3"/>
      <c r="G92" s="3"/>
      <c r="H92" s="3"/>
      <c r="I92" s="4"/>
    </row>
    <row r="93" spans="1:11" ht="13" x14ac:dyDescent="0.3">
      <c r="A93" s="37" t="s">
        <v>134</v>
      </c>
      <c r="B93" s="3"/>
      <c r="C93" s="3"/>
      <c r="D93" s="3"/>
      <c r="E93" s="3"/>
      <c r="F93" s="3"/>
      <c r="G93" s="3"/>
      <c r="H93" s="3"/>
      <c r="I93" s="4"/>
    </row>
    <row r="94" spans="1:11" ht="13" x14ac:dyDescent="0.3">
      <c r="A94" s="37" t="s">
        <v>135</v>
      </c>
      <c r="B94" s="3"/>
      <c r="C94" s="3"/>
      <c r="D94" s="3"/>
      <c r="E94" s="3"/>
      <c r="F94" s="3"/>
      <c r="G94" s="3"/>
      <c r="H94" s="3"/>
      <c r="I94" s="4"/>
    </row>
    <row r="95" spans="1:11" ht="13" x14ac:dyDescent="0.3">
      <c r="A95" s="37" t="s">
        <v>136</v>
      </c>
      <c r="B95" s="3"/>
      <c r="C95" s="3"/>
      <c r="D95" s="3"/>
      <c r="E95" s="3"/>
      <c r="F95" s="3"/>
      <c r="G95" s="3"/>
      <c r="H95" s="3"/>
      <c r="I95" s="4"/>
    </row>
    <row r="96" spans="1:11" ht="13" x14ac:dyDescent="0.3">
      <c r="A96" s="10"/>
      <c r="B96" s="10"/>
      <c r="C96" s="10"/>
      <c r="D96" s="10"/>
      <c r="E96" s="10"/>
      <c r="F96" s="10"/>
      <c r="G96" s="10"/>
      <c r="H96" s="10"/>
      <c r="I96" s="10"/>
    </row>
    <row r="97" spans="1:11" ht="13" x14ac:dyDescent="0.3">
      <c r="A97" s="49">
        <v>2</v>
      </c>
      <c r="B97" s="48" t="s">
        <v>137</v>
      </c>
      <c r="C97" s="48"/>
      <c r="D97" s="48"/>
      <c r="E97" s="48"/>
      <c r="F97" s="48"/>
      <c r="G97" s="48"/>
      <c r="H97" s="48"/>
      <c r="I97" s="48"/>
    </row>
    <row r="98" spans="1:11" ht="13" x14ac:dyDescent="0.3">
      <c r="A98" s="477" t="s">
        <v>138</v>
      </c>
      <c r="B98" s="477"/>
      <c r="C98" s="477"/>
      <c r="D98" s="477"/>
      <c r="E98" s="477"/>
      <c r="F98" s="477"/>
      <c r="G98" s="477"/>
      <c r="H98" s="477"/>
      <c r="I98" s="8" t="s">
        <v>77</v>
      </c>
    </row>
    <row r="99" spans="1:11" ht="13" x14ac:dyDescent="0.3">
      <c r="A99" s="8" t="s">
        <v>92</v>
      </c>
      <c r="B99" s="514" t="s">
        <v>139</v>
      </c>
      <c r="C99" s="514"/>
      <c r="D99" s="514"/>
      <c r="E99" s="514"/>
      <c r="F99" s="514"/>
      <c r="G99" s="514"/>
      <c r="H99" s="514"/>
      <c r="I99" s="25">
        <f>I56</f>
        <v>487.38878905600006</v>
      </c>
    </row>
    <row r="100" spans="1:11" ht="13" x14ac:dyDescent="0.3">
      <c r="A100" s="8" t="s">
        <v>104</v>
      </c>
      <c r="B100" s="514" t="s">
        <v>140</v>
      </c>
      <c r="C100" s="514"/>
      <c r="D100" s="514"/>
      <c r="E100" s="514"/>
      <c r="F100" s="514"/>
      <c r="G100" s="514"/>
      <c r="H100" s="514"/>
      <c r="I100" s="25">
        <f>I75</f>
        <v>641.67792000000009</v>
      </c>
    </row>
    <row r="101" spans="1:11" ht="13" x14ac:dyDescent="0.3">
      <c r="A101" s="8" t="s">
        <v>122</v>
      </c>
      <c r="B101" s="514" t="s">
        <v>141</v>
      </c>
      <c r="C101" s="514"/>
      <c r="D101" s="514"/>
      <c r="E101" s="514"/>
      <c r="F101" s="514"/>
      <c r="G101" s="514"/>
      <c r="H101" s="514"/>
      <c r="I101" s="25">
        <f>I90</f>
        <v>1129.2285999999999</v>
      </c>
    </row>
    <row r="102" spans="1:11" ht="13" x14ac:dyDescent="0.3">
      <c r="A102" s="485" t="s">
        <v>142</v>
      </c>
      <c r="B102" s="485"/>
      <c r="C102" s="485"/>
      <c r="D102" s="485"/>
      <c r="E102" s="485"/>
      <c r="F102" s="485"/>
      <c r="G102" s="485"/>
      <c r="H102" s="485"/>
      <c r="I102" s="128">
        <f>SUM(I99:I101)</f>
        <v>2258.295309056</v>
      </c>
      <c r="K102" s="7"/>
    </row>
    <row r="103" spans="1:11" ht="13" x14ac:dyDescent="0.3">
      <c r="A103" s="493"/>
      <c r="B103" s="494"/>
      <c r="C103" s="494"/>
      <c r="D103" s="494"/>
      <c r="E103" s="494"/>
      <c r="F103" s="494"/>
      <c r="G103" s="494"/>
      <c r="H103" s="494"/>
      <c r="I103" s="494"/>
    </row>
    <row r="104" spans="1:11" ht="13" x14ac:dyDescent="0.3">
      <c r="A104" s="492" t="s">
        <v>143</v>
      </c>
      <c r="B104" s="492"/>
      <c r="C104" s="492"/>
      <c r="D104" s="492"/>
      <c r="E104" s="492"/>
      <c r="F104" s="492"/>
      <c r="G104" s="492"/>
      <c r="H104" s="492"/>
      <c r="I104" s="492"/>
    </row>
    <row r="105" spans="1:11" ht="13" x14ac:dyDescent="0.3">
      <c r="A105" s="8">
        <v>3</v>
      </c>
      <c r="B105" s="477" t="s">
        <v>144</v>
      </c>
      <c r="C105" s="477"/>
      <c r="D105" s="477"/>
      <c r="E105" s="477"/>
      <c r="F105" s="477"/>
      <c r="G105" s="477"/>
      <c r="H105" s="8" t="s">
        <v>76</v>
      </c>
      <c r="I105" s="8" t="s">
        <v>77</v>
      </c>
    </row>
    <row r="106" spans="1:11" ht="13" x14ac:dyDescent="0.3">
      <c r="A106" s="8" t="s">
        <v>40</v>
      </c>
      <c r="B106" s="478" t="s">
        <v>145</v>
      </c>
      <c r="C106" s="478"/>
      <c r="D106" s="478"/>
      <c r="E106" s="478"/>
      <c r="F106" s="478"/>
      <c r="G106" s="478"/>
      <c r="H106" s="1">
        <v>4.1999999999999997E-3</v>
      </c>
      <c r="I106" s="25">
        <f>H106*I45</f>
        <v>7.3234979999999998</v>
      </c>
    </row>
    <row r="107" spans="1:11" ht="13" x14ac:dyDescent="0.25">
      <c r="A107" s="47" t="s">
        <v>42</v>
      </c>
      <c r="B107" s="481" t="s">
        <v>146</v>
      </c>
      <c r="C107" s="481"/>
      <c r="D107" s="481"/>
      <c r="E107" s="481"/>
      <c r="F107" s="481"/>
      <c r="G107" s="481"/>
      <c r="H107" s="160">
        <f>H74</f>
        <v>0.08</v>
      </c>
      <c r="I107" s="161">
        <f>I106*H107</f>
        <v>0.58587984000000004</v>
      </c>
    </row>
    <row r="108" spans="1:11" ht="24.75" customHeight="1" x14ac:dyDescent="0.25">
      <c r="A108" s="47" t="s">
        <v>45</v>
      </c>
      <c r="B108" s="481" t="s">
        <v>147</v>
      </c>
      <c r="C108" s="481"/>
      <c r="D108" s="481"/>
      <c r="E108" s="481"/>
      <c r="F108" s="481"/>
      <c r="G108" s="481"/>
      <c r="H108" s="160">
        <v>2E-3</v>
      </c>
      <c r="I108" s="161">
        <f>H108*I45</f>
        <v>3.4873800000000004</v>
      </c>
    </row>
    <row r="109" spans="1:11" ht="13" x14ac:dyDescent="0.3">
      <c r="A109" s="8" t="s">
        <v>48</v>
      </c>
      <c r="B109" s="478" t="s">
        <v>148</v>
      </c>
      <c r="C109" s="478"/>
      <c r="D109" s="478"/>
      <c r="E109" s="478"/>
      <c r="F109" s="478"/>
      <c r="G109" s="478"/>
      <c r="H109" s="1">
        <v>1.9400000000000001E-2</v>
      </c>
      <c r="I109" s="25">
        <f>H109*I45</f>
        <v>33.827586000000004</v>
      </c>
    </row>
    <row r="110" spans="1:11" ht="13" x14ac:dyDescent="0.3">
      <c r="A110" s="8" t="s">
        <v>84</v>
      </c>
      <c r="B110" s="511" t="s">
        <v>149</v>
      </c>
      <c r="C110" s="511"/>
      <c r="D110" s="511"/>
      <c r="E110" s="511"/>
      <c r="F110" s="511"/>
      <c r="G110" s="511"/>
      <c r="H110" s="24">
        <f>H75</f>
        <v>0.36800000000000005</v>
      </c>
      <c r="I110" s="25">
        <f>I109*H110</f>
        <v>12.448551648000002</v>
      </c>
    </row>
    <row r="111" spans="1:11" ht="25.5" customHeight="1" x14ac:dyDescent="0.25">
      <c r="A111" s="47" t="s">
        <v>86</v>
      </c>
      <c r="B111" s="481" t="s">
        <v>150</v>
      </c>
      <c r="C111" s="481"/>
      <c r="D111" s="481"/>
      <c r="E111" s="481"/>
      <c r="F111" s="481"/>
      <c r="G111" s="481"/>
      <c r="H111" s="160">
        <v>3.7999999999999999E-2</v>
      </c>
      <c r="I111" s="161">
        <f>H111*I45</f>
        <v>66.260220000000004</v>
      </c>
      <c r="K111" s="7"/>
    </row>
    <row r="112" spans="1:11" ht="13" x14ac:dyDescent="0.3">
      <c r="A112" s="485" t="s">
        <v>151</v>
      </c>
      <c r="B112" s="485"/>
      <c r="C112" s="485"/>
      <c r="D112" s="485"/>
      <c r="E112" s="485"/>
      <c r="F112" s="485"/>
      <c r="G112" s="485"/>
      <c r="H112" s="42"/>
      <c r="I112" s="128">
        <f>SUM(I106:I111)</f>
        <v>123.93311548800001</v>
      </c>
    </row>
    <row r="113" spans="1:11" ht="13" x14ac:dyDescent="0.3">
      <c r="A113" s="563"/>
      <c r="B113" s="513"/>
      <c r="C113" s="513"/>
      <c r="D113" s="513"/>
      <c r="E113" s="513"/>
      <c r="F113" s="513"/>
      <c r="G113" s="513"/>
      <c r="H113" s="513"/>
      <c r="I113" s="513"/>
    </row>
    <row r="114" spans="1:11" ht="13" x14ac:dyDescent="0.3">
      <c r="A114" s="492" t="s">
        <v>152</v>
      </c>
      <c r="B114" s="492"/>
      <c r="C114" s="492"/>
      <c r="D114" s="492"/>
      <c r="E114" s="492"/>
      <c r="F114" s="492"/>
      <c r="G114" s="492"/>
      <c r="H114" s="492"/>
      <c r="I114" s="492"/>
    </row>
    <row r="115" spans="1:11" ht="13" x14ac:dyDescent="0.3">
      <c r="A115" s="3"/>
      <c r="B115" s="3"/>
      <c r="C115" s="3"/>
      <c r="D115" s="3"/>
      <c r="E115" s="3"/>
      <c r="F115" s="3"/>
      <c r="G115" s="3"/>
      <c r="H115" s="3"/>
      <c r="I115" s="3"/>
    </row>
    <row r="116" spans="1:11" ht="13" x14ac:dyDescent="0.3">
      <c r="A116" s="37" t="s">
        <v>153</v>
      </c>
      <c r="B116" s="3"/>
      <c r="C116" s="3"/>
      <c r="D116" s="3"/>
      <c r="E116" s="3"/>
      <c r="F116" s="3"/>
      <c r="G116" s="3"/>
      <c r="H116" s="3"/>
      <c r="I116" s="3"/>
    </row>
    <row r="117" spans="1:11" ht="13" x14ac:dyDescent="0.3">
      <c r="A117" s="37" t="s">
        <v>154</v>
      </c>
      <c r="B117" s="3"/>
      <c r="C117" s="3"/>
      <c r="D117" s="3"/>
      <c r="E117" s="3"/>
      <c r="F117" s="3"/>
      <c r="G117" s="3"/>
      <c r="H117" s="3"/>
      <c r="I117" s="3"/>
    </row>
    <row r="118" spans="1:11" ht="13" x14ac:dyDescent="0.3">
      <c r="A118" s="3"/>
      <c r="B118" s="3"/>
      <c r="C118" s="3"/>
      <c r="D118" s="3"/>
      <c r="E118" s="3"/>
      <c r="F118" s="3"/>
      <c r="G118" s="3"/>
      <c r="H118" s="3"/>
      <c r="I118" s="3"/>
    </row>
    <row r="119" spans="1:11" ht="13" x14ac:dyDescent="0.3">
      <c r="A119" s="49" t="s">
        <v>155</v>
      </c>
      <c r="B119" s="480" t="s">
        <v>156</v>
      </c>
      <c r="C119" s="480"/>
      <c r="D119" s="480"/>
      <c r="E119" s="480"/>
      <c r="F119" s="480"/>
      <c r="G119" s="480"/>
      <c r="H119" s="34" t="s">
        <v>76</v>
      </c>
      <c r="I119" s="34" t="s">
        <v>77</v>
      </c>
    </row>
    <row r="120" spans="1:11" ht="13" x14ac:dyDescent="0.3">
      <c r="A120" s="49" t="s">
        <v>40</v>
      </c>
      <c r="B120" s="478" t="s">
        <v>157</v>
      </c>
      <c r="C120" s="478"/>
      <c r="D120" s="478"/>
      <c r="E120" s="478"/>
      <c r="F120" s="478"/>
      <c r="G120" s="478"/>
      <c r="H120" s="43"/>
      <c r="I120" s="43"/>
    </row>
    <row r="121" spans="1:11" ht="13" x14ac:dyDescent="0.3">
      <c r="A121" s="8" t="s">
        <v>42</v>
      </c>
      <c r="B121" s="478" t="s">
        <v>158</v>
      </c>
      <c r="C121" s="478"/>
      <c r="D121" s="478"/>
      <c r="E121" s="478"/>
      <c r="F121" s="478"/>
      <c r="G121" s="478"/>
      <c r="H121" s="172">
        <v>1.67E-2</v>
      </c>
      <c r="I121" s="25">
        <f>H121*$I$45</f>
        <v>29.119623000000001</v>
      </c>
      <c r="J121" s="32" t="s">
        <v>159</v>
      </c>
      <c r="K121" s="163"/>
    </row>
    <row r="122" spans="1:11" ht="13" x14ac:dyDescent="0.3">
      <c r="A122" s="8" t="s">
        <v>45</v>
      </c>
      <c r="B122" s="478" t="s">
        <v>160</v>
      </c>
      <c r="C122" s="478"/>
      <c r="D122" s="478"/>
      <c r="E122" s="478"/>
      <c r="F122" s="478"/>
      <c r="G122" s="478"/>
      <c r="H122" s="172">
        <v>2.0000000000000001E-4</v>
      </c>
      <c r="I122" s="25">
        <f>H122*$I$45</f>
        <v>0.34873800000000005</v>
      </c>
      <c r="J122" s="32" t="s">
        <v>159</v>
      </c>
      <c r="K122" s="163"/>
    </row>
    <row r="123" spans="1:11" ht="13.5" x14ac:dyDescent="0.25">
      <c r="A123" s="47" t="s">
        <v>48</v>
      </c>
      <c r="B123" s="481" t="s">
        <v>161</v>
      </c>
      <c r="C123" s="481"/>
      <c r="D123" s="481"/>
      <c r="E123" s="481"/>
      <c r="F123" s="481"/>
      <c r="G123" s="481"/>
      <c r="H123" s="160">
        <v>6.9999999999999999E-4</v>
      </c>
      <c r="I123" s="161">
        <f>H123*$I$45</f>
        <v>1.220583</v>
      </c>
      <c r="J123" s="32" t="s">
        <v>159</v>
      </c>
    </row>
    <row r="124" spans="1:11" ht="13" x14ac:dyDescent="0.3">
      <c r="A124" s="8" t="s">
        <v>84</v>
      </c>
      <c r="B124" s="478" t="s">
        <v>162</v>
      </c>
      <c r="C124" s="478"/>
      <c r="D124" s="478"/>
      <c r="E124" s="478"/>
      <c r="F124" s="478"/>
      <c r="G124" s="478"/>
      <c r="H124" s="172">
        <v>2.8999999999999998E-3</v>
      </c>
      <c r="I124" s="25">
        <f>H124*$I$45</f>
        <v>5.0567009999999994</v>
      </c>
      <c r="J124" s="32" t="s">
        <v>159</v>
      </c>
    </row>
    <row r="125" spans="1:11" ht="13" x14ac:dyDescent="0.3">
      <c r="A125" s="8" t="s">
        <v>86</v>
      </c>
      <c r="B125" s="478" t="s">
        <v>163</v>
      </c>
      <c r="C125" s="478"/>
      <c r="D125" s="478"/>
      <c r="E125" s="478"/>
      <c r="F125" s="478"/>
      <c r="G125" s="478"/>
      <c r="H125" s="172"/>
      <c r="I125" s="25">
        <f t="shared" ref="I125" si="1">H125*$I$45</f>
        <v>0</v>
      </c>
      <c r="J125" s="32" t="s">
        <v>159</v>
      </c>
    </row>
    <row r="126" spans="1:11" ht="13" x14ac:dyDescent="0.3">
      <c r="A126" s="480" t="s">
        <v>164</v>
      </c>
      <c r="B126" s="480"/>
      <c r="C126" s="480"/>
      <c r="D126" s="480"/>
      <c r="E126" s="480"/>
      <c r="F126" s="480"/>
      <c r="G126" s="480"/>
      <c r="H126" s="42"/>
      <c r="I126" s="43">
        <f>SUM(I121:I125)</f>
        <v>35.745645000000003</v>
      </c>
      <c r="J126" s="32"/>
    </row>
    <row r="127" spans="1:11" ht="13" x14ac:dyDescent="0.3">
      <c r="A127" s="8" t="s">
        <v>86</v>
      </c>
      <c r="B127" s="478" t="s">
        <v>165</v>
      </c>
      <c r="C127" s="478"/>
      <c r="D127" s="478"/>
      <c r="E127" s="478"/>
      <c r="F127" s="478"/>
      <c r="G127" s="478"/>
      <c r="H127" s="1">
        <f>H75</f>
        <v>0.36800000000000005</v>
      </c>
      <c r="I127" s="25">
        <f>I126*H127</f>
        <v>13.154397360000003</v>
      </c>
    </row>
    <row r="128" spans="1:11" ht="13" x14ac:dyDescent="0.3">
      <c r="A128" s="480" t="s">
        <v>166</v>
      </c>
      <c r="B128" s="480"/>
      <c r="C128" s="480"/>
      <c r="D128" s="480"/>
      <c r="E128" s="480"/>
      <c r="F128" s="480"/>
      <c r="G128" s="480"/>
      <c r="H128" s="42"/>
      <c r="I128" s="43">
        <f>SUM(I126:I127)</f>
        <v>48.900042360000008</v>
      </c>
    </row>
    <row r="129" spans="1:11" ht="13" x14ac:dyDescent="0.3">
      <c r="A129" s="3"/>
      <c r="B129" s="3"/>
      <c r="C129" s="3"/>
      <c r="D129" s="3"/>
      <c r="E129" s="3"/>
      <c r="F129" s="3"/>
      <c r="G129" s="3"/>
      <c r="H129" s="3"/>
      <c r="I129" s="3"/>
    </row>
    <row r="130" spans="1:11" ht="13" x14ac:dyDescent="0.3">
      <c r="A130" s="49" t="s">
        <v>167</v>
      </c>
      <c r="B130" s="495" t="s">
        <v>168</v>
      </c>
      <c r="C130" s="496"/>
      <c r="D130" s="496"/>
      <c r="E130" s="496"/>
      <c r="F130" s="496"/>
      <c r="G130" s="497"/>
      <c r="H130" s="34" t="s">
        <v>76</v>
      </c>
      <c r="I130" s="34" t="s">
        <v>77</v>
      </c>
    </row>
    <row r="131" spans="1:11" ht="13" x14ac:dyDescent="0.3">
      <c r="A131" s="8" t="s">
        <v>40</v>
      </c>
      <c r="B131" s="498" t="s">
        <v>169</v>
      </c>
      <c r="C131" s="499"/>
      <c r="D131" s="499"/>
      <c r="E131" s="499"/>
      <c r="F131" s="499"/>
      <c r="G131" s="500"/>
      <c r="H131" s="172">
        <v>0</v>
      </c>
      <c r="I131" s="25">
        <v>0</v>
      </c>
    </row>
    <row r="132" spans="1:11" ht="13" x14ac:dyDescent="0.3">
      <c r="A132" s="495" t="s">
        <v>170</v>
      </c>
      <c r="B132" s="496"/>
      <c r="C132" s="496"/>
      <c r="D132" s="496"/>
      <c r="E132" s="496"/>
      <c r="F132" s="496"/>
      <c r="G132" s="497"/>
      <c r="H132" s="42">
        <f>TRUNC(SUM(H131),4)</f>
        <v>0</v>
      </c>
      <c r="I132" s="43">
        <f>SUM(I131)</f>
        <v>0</v>
      </c>
    </row>
    <row r="133" spans="1:11" ht="13" x14ac:dyDescent="0.3">
      <c r="A133" s="51"/>
      <c r="B133" s="45"/>
      <c r="C133" s="45"/>
      <c r="D133" s="45"/>
      <c r="E133" s="45"/>
      <c r="F133" s="45"/>
      <c r="G133" s="45"/>
      <c r="H133" s="45"/>
      <c r="I133" s="45"/>
    </row>
    <row r="134" spans="1:11" ht="13" x14ac:dyDescent="0.3">
      <c r="A134" s="480" t="s">
        <v>171</v>
      </c>
      <c r="B134" s="480"/>
      <c r="C134" s="480"/>
      <c r="D134" s="480"/>
      <c r="E134" s="480"/>
      <c r="F134" s="480"/>
      <c r="G134" s="480"/>
      <c r="H134" s="480"/>
      <c r="I134" s="480"/>
    </row>
    <row r="135" spans="1:11" ht="13" x14ac:dyDescent="0.3">
      <c r="A135" s="47">
        <v>4</v>
      </c>
      <c r="B135" s="502" t="s">
        <v>172</v>
      </c>
      <c r="C135" s="503"/>
      <c r="D135" s="503"/>
      <c r="E135" s="503"/>
      <c r="F135" s="503"/>
      <c r="G135" s="504"/>
      <c r="H135" s="46"/>
      <c r="I135" s="8" t="s">
        <v>77</v>
      </c>
    </row>
    <row r="136" spans="1:11" ht="13" x14ac:dyDescent="0.3">
      <c r="A136" s="8" t="s">
        <v>155</v>
      </c>
      <c r="B136" s="505" t="s">
        <v>173</v>
      </c>
      <c r="C136" s="506"/>
      <c r="D136" s="506"/>
      <c r="E136" s="506"/>
      <c r="F136" s="506"/>
      <c r="G136" s="507"/>
      <c r="H136" s="22"/>
      <c r="I136" s="25">
        <f>I128</f>
        <v>48.900042360000008</v>
      </c>
    </row>
    <row r="137" spans="1:11" ht="13" x14ac:dyDescent="0.3">
      <c r="A137" s="8" t="s">
        <v>167</v>
      </c>
      <c r="B137" s="505" t="s">
        <v>174</v>
      </c>
      <c r="C137" s="506"/>
      <c r="D137" s="506"/>
      <c r="E137" s="506"/>
      <c r="F137" s="506"/>
      <c r="G137" s="507"/>
      <c r="H137" s="22"/>
      <c r="I137" s="25">
        <f>I132</f>
        <v>0</v>
      </c>
    </row>
    <row r="138" spans="1:11" ht="13" x14ac:dyDescent="0.3">
      <c r="A138" s="485" t="s">
        <v>175</v>
      </c>
      <c r="B138" s="485"/>
      <c r="C138" s="485"/>
      <c r="D138" s="485"/>
      <c r="E138" s="485"/>
      <c r="F138" s="485"/>
      <c r="G138" s="485"/>
      <c r="H138" s="485"/>
      <c r="I138" s="128">
        <f>SUM(I136:I137)</f>
        <v>48.900042360000008</v>
      </c>
    </row>
    <row r="139" spans="1:11" ht="13" x14ac:dyDescent="0.3">
      <c r="A139" s="493"/>
      <c r="B139" s="494"/>
      <c r="C139" s="494"/>
      <c r="D139" s="494"/>
      <c r="E139" s="494"/>
      <c r="F139" s="494"/>
      <c r="G139" s="494"/>
      <c r="H139" s="494"/>
      <c r="I139" s="494"/>
    </row>
    <row r="140" spans="1:11" ht="13" x14ac:dyDescent="0.3">
      <c r="A140" s="492" t="s">
        <v>176</v>
      </c>
      <c r="B140" s="492"/>
      <c r="C140" s="492"/>
      <c r="D140" s="492"/>
      <c r="E140" s="492"/>
      <c r="F140" s="492"/>
      <c r="G140" s="492"/>
      <c r="H140" s="492"/>
      <c r="I140" s="492"/>
    </row>
    <row r="141" spans="1:11" ht="13" x14ac:dyDescent="0.3">
      <c r="A141" s="8">
        <v>5</v>
      </c>
      <c r="B141" s="477" t="s">
        <v>177</v>
      </c>
      <c r="C141" s="477"/>
      <c r="D141" s="477"/>
      <c r="E141" s="477"/>
      <c r="F141" s="477"/>
      <c r="G141" s="477"/>
      <c r="H141" s="8"/>
      <c r="I141" s="8" t="s">
        <v>77</v>
      </c>
    </row>
    <row r="142" spans="1:11" ht="13" x14ac:dyDescent="0.3">
      <c r="A142" s="8" t="s">
        <v>40</v>
      </c>
      <c r="B142" s="486" t="s">
        <v>178</v>
      </c>
      <c r="C142" s="486"/>
      <c r="D142" s="486"/>
      <c r="E142" s="486"/>
      <c r="F142" s="486"/>
      <c r="G142" s="486"/>
      <c r="H142" s="23" t="s">
        <v>125</v>
      </c>
      <c r="I142" s="25">
        <f>'Uniform&amp;EPIs '!K25</f>
        <v>163.85291666666669</v>
      </c>
    </row>
    <row r="143" spans="1:11" ht="25" x14ac:dyDescent="0.3">
      <c r="A143" s="8" t="s">
        <v>42</v>
      </c>
      <c r="B143" s="486" t="s">
        <v>179</v>
      </c>
      <c r="C143" s="486"/>
      <c r="D143" s="486"/>
      <c r="E143" s="486"/>
      <c r="F143" s="486"/>
      <c r="G143" s="486"/>
      <c r="H143" s="23" t="s">
        <v>125</v>
      </c>
      <c r="I143" s="25">
        <v>0</v>
      </c>
      <c r="K143" s="306" t="s">
        <v>231</v>
      </c>
    </row>
    <row r="144" spans="1:11" ht="25" x14ac:dyDescent="0.3">
      <c r="A144" s="28" t="s">
        <v>45</v>
      </c>
      <c r="B144" s="486" t="s">
        <v>180</v>
      </c>
      <c r="C144" s="486"/>
      <c r="D144" s="486"/>
      <c r="E144" s="486"/>
      <c r="F144" s="486"/>
      <c r="G144" s="486"/>
      <c r="H144" s="23" t="s">
        <v>125</v>
      </c>
      <c r="I144" s="25">
        <v>0</v>
      </c>
      <c r="K144" s="306" t="s">
        <v>231</v>
      </c>
    </row>
    <row r="145" spans="1:13" ht="13" x14ac:dyDescent="0.3">
      <c r="A145" s="28" t="s">
        <v>48</v>
      </c>
      <c r="B145" s="486" t="s">
        <v>87</v>
      </c>
      <c r="C145" s="486"/>
      <c r="D145" s="486"/>
      <c r="E145" s="486"/>
      <c r="F145" s="486"/>
      <c r="G145" s="486"/>
      <c r="H145" s="23" t="s">
        <v>125</v>
      </c>
      <c r="I145" s="25">
        <v>0</v>
      </c>
    </row>
    <row r="146" spans="1:13" ht="13" x14ac:dyDescent="0.3">
      <c r="A146" s="485" t="s">
        <v>181</v>
      </c>
      <c r="B146" s="485"/>
      <c r="C146" s="485"/>
      <c r="D146" s="485"/>
      <c r="E146" s="485"/>
      <c r="F146" s="485"/>
      <c r="G146" s="485"/>
      <c r="H146" s="42" t="s">
        <v>125</v>
      </c>
      <c r="I146" s="128">
        <f>SUM(I142:I145)</f>
        <v>163.85291666666669</v>
      </c>
      <c r="K146" s="163"/>
    </row>
    <row r="147" spans="1:13" ht="13" x14ac:dyDescent="0.25">
      <c r="A147" s="53"/>
      <c r="B147" s="53"/>
      <c r="C147" s="53"/>
      <c r="D147" s="53"/>
      <c r="E147" s="53"/>
      <c r="F147" s="53"/>
      <c r="G147" s="53"/>
      <c r="H147" s="53"/>
      <c r="I147" s="53"/>
    </row>
    <row r="148" spans="1:13" ht="13" x14ac:dyDescent="0.3">
      <c r="A148" s="37" t="s">
        <v>182</v>
      </c>
      <c r="B148" s="3"/>
      <c r="C148" s="3"/>
      <c r="D148" s="3"/>
      <c r="E148" s="3"/>
      <c r="F148" s="3"/>
      <c r="G148" s="3"/>
      <c r="H148" s="3"/>
      <c r="I148" s="3"/>
    </row>
    <row r="149" spans="1:13" ht="13" x14ac:dyDescent="0.3">
      <c r="A149" s="52"/>
      <c r="B149" s="3"/>
      <c r="C149" s="3"/>
      <c r="D149" s="3"/>
      <c r="E149" s="3"/>
      <c r="F149" s="3"/>
      <c r="G149" s="3"/>
      <c r="H149" s="3"/>
      <c r="I149" s="3"/>
    </row>
    <row r="150" spans="1:13" ht="13" x14ac:dyDescent="0.3">
      <c r="A150" s="492" t="s">
        <v>183</v>
      </c>
      <c r="B150" s="492"/>
      <c r="C150" s="492"/>
      <c r="D150" s="492"/>
      <c r="E150" s="492"/>
      <c r="F150" s="492"/>
      <c r="G150" s="492"/>
      <c r="H150" s="492"/>
      <c r="I150" s="492"/>
    </row>
    <row r="151" spans="1:13" ht="13" x14ac:dyDescent="0.3">
      <c r="A151" s="8">
        <v>6</v>
      </c>
      <c r="B151" s="477" t="s">
        <v>184</v>
      </c>
      <c r="C151" s="477"/>
      <c r="D151" s="477"/>
      <c r="E151" s="477"/>
      <c r="F151" s="477"/>
      <c r="G151" s="477"/>
      <c r="H151" s="8" t="s">
        <v>76</v>
      </c>
      <c r="I151" s="8" t="s">
        <v>77</v>
      </c>
    </row>
    <row r="152" spans="1:13" ht="13" x14ac:dyDescent="0.3">
      <c r="A152" s="8" t="s">
        <v>40</v>
      </c>
      <c r="B152" s="478" t="s">
        <v>185</v>
      </c>
      <c r="C152" s="478"/>
      <c r="D152" s="478"/>
      <c r="E152" s="478"/>
      <c r="F152" s="478"/>
      <c r="G152" s="478"/>
      <c r="H152" s="29">
        <v>0.05</v>
      </c>
      <c r="I152" s="259">
        <f>H152*I170</f>
        <v>216.93356917853336</v>
      </c>
      <c r="J152" s="32" t="s">
        <v>186</v>
      </c>
    </row>
    <row r="153" spans="1:13" ht="13" x14ac:dyDescent="0.3">
      <c r="A153" s="8" t="s">
        <v>42</v>
      </c>
      <c r="B153" s="478" t="s">
        <v>187</v>
      </c>
      <c r="C153" s="478"/>
      <c r="D153" s="478"/>
      <c r="E153" s="478"/>
      <c r="F153" s="478"/>
      <c r="G153" s="478"/>
      <c r="H153" s="29">
        <v>0.1</v>
      </c>
      <c r="I153" s="259">
        <f>H153*(I152+I170)</f>
        <v>455.56049527492007</v>
      </c>
      <c r="J153" s="32" t="s">
        <v>186</v>
      </c>
    </row>
    <row r="154" spans="1:13" ht="13" x14ac:dyDescent="0.3">
      <c r="A154" s="8" t="s">
        <v>45</v>
      </c>
      <c r="B154" s="483" t="s">
        <v>188</v>
      </c>
      <c r="C154" s="483"/>
      <c r="D154" s="483"/>
      <c r="E154" s="483"/>
      <c r="F154" s="483"/>
      <c r="G154" s="483"/>
      <c r="H154" s="2"/>
      <c r="I154" s="30"/>
    </row>
    <row r="155" spans="1:13" ht="13" x14ac:dyDescent="0.3">
      <c r="A155" s="8" t="s">
        <v>189</v>
      </c>
      <c r="B155" s="478" t="s">
        <v>190</v>
      </c>
      <c r="C155" s="478"/>
      <c r="D155" s="478"/>
      <c r="E155" s="478"/>
      <c r="F155" s="478"/>
      <c r="G155" s="478"/>
      <c r="H155" s="6">
        <v>1.6500000000000001E-2</v>
      </c>
      <c r="I155" s="259">
        <f>H155*$I$172</f>
        <v>96.424757892009325</v>
      </c>
      <c r="J155" s="32" t="s">
        <v>191</v>
      </c>
      <c r="K155" s="7"/>
    </row>
    <row r="156" spans="1:13" ht="13" x14ac:dyDescent="0.3">
      <c r="A156" s="8" t="s">
        <v>192</v>
      </c>
      <c r="B156" s="478" t="s">
        <v>193</v>
      </c>
      <c r="C156" s="478"/>
      <c r="D156" s="478"/>
      <c r="E156" s="478"/>
      <c r="F156" s="478"/>
      <c r="G156" s="478"/>
      <c r="H156" s="6">
        <v>7.5999999999999998E-2</v>
      </c>
      <c r="I156" s="259">
        <f t="shared" ref="I156:I157" si="2">H156*$I$172</f>
        <v>444.13827877531565</v>
      </c>
      <c r="J156" s="32" t="s">
        <v>191</v>
      </c>
      <c r="K156" s="7"/>
    </row>
    <row r="157" spans="1:13" ht="13" x14ac:dyDescent="0.3">
      <c r="A157" s="8" t="s">
        <v>194</v>
      </c>
      <c r="B157" s="478" t="s">
        <v>195</v>
      </c>
      <c r="C157" s="478"/>
      <c r="D157" s="478"/>
      <c r="E157" s="478"/>
      <c r="F157" s="478"/>
      <c r="G157" s="478"/>
      <c r="H157" s="6">
        <v>0.05</v>
      </c>
      <c r="I157" s="259">
        <f t="shared" si="2"/>
        <v>292.19623603639189</v>
      </c>
      <c r="J157" s="32" t="s">
        <v>191</v>
      </c>
      <c r="K157" s="7"/>
    </row>
    <row r="158" spans="1:13" ht="13" x14ac:dyDescent="0.3">
      <c r="A158" s="485" t="s">
        <v>196</v>
      </c>
      <c r="B158" s="485"/>
      <c r="C158" s="485"/>
      <c r="D158" s="485"/>
      <c r="E158" s="485"/>
      <c r="F158" s="485"/>
      <c r="G158" s="485"/>
      <c r="H158" s="54">
        <f>SUM(H152:H157)</f>
        <v>0.29250000000000004</v>
      </c>
      <c r="I158" s="128">
        <f>SUM(I152:I157)</f>
        <v>1505.2533371571703</v>
      </c>
      <c r="K158" s="7"/>
      <c r="M158" s="7"/>
    </row>
    <row r="159" spans="1:13" x14ac:dyDescent="0.25">
      <c r="A159" s="251"/>
      <c r="B159" s="260"/>
      <c r="C159" s="260"/>
      <c r="D159" s="260"/>
      <c r="E159" s="260"/>
      <c r="F159" s="260"/>
      <c r="G159" s="260"/>
      <c r="H159" s="260"/>
      <c r="I159" s="260"/>
    </row>
    <row r="160" spans="1:13" ht="13" x14ac:dyDescent="0.25">
      <c r="A160" s="37" t="s">
        <v>197</v>
      </c>
      <c r="B160" s="260"/>
      <c r="C160" s="260"/>
      <c r="D160" s="260"/>
      <c r="E160" s="260"/>
      <c r="F160" s="260"/>
      <c r="G160" s="260"/>
      <c r="H160" s="260"/>
      <c r="I160" s="260"/>
    </row>
    <row r="161" spans="1:11" ht="13" x14ac:dyDescent="0.25">
      <c r="A161" s="37" t="s">
        <v>198</v>
      </c>
      <c r="B161" s="260"/>
      <c r="C161" s="260"/>
      <c r="D161" s="260"/>
      <c r="E161" s="260"/>
      <c r="F161" s="260"/>
      <c r="G161" s="260"/>
      <c r="H161" s="260"/>
      <c r="I161" s="260"/>
    </row>
    <row r="162" spans="1:11" ht="13" x14ac:dyDescent="0.3">
      <c r="A162" s="251"/>
      <c r="B162" s="251"/>
      <c r="C162" s="251"/>
      <c r="D162" s="251"/>
      <c r="E162" s="251"/>
      <c r="F162" s="251"/>
      <c r="G162" s="251"/>
      <c r="H162" s="251"/>
      <c r="I162" s="4"/>
    </row>
    <row r="163" spans="1:11" ht="13" x14ac:dyDescent="0.3">
      <c r="A163" s="480" t="s">
        <v>199</v>
      </c>
      <c r="B163" s="480"/>
      <c r="C163" s="480"/>
      <c r="D163" s="480"/>
      <c r="E163" s="480"/>
      <c r="F163" s="480"/>
      <c r="G163" s="480"/>
      <c r="H163" s="480"/>
      <c r="I163" s="480"/>
      <c r="K163" s="9"/>
    </row>
    <row r="164" spans="1:11" ht="13" x14ac:dyDescent="0.3">
      <c r="A164" s="477" t="s">
        <v>200</v>
      </c>
      <c r="B164" s="477"/>
      <c r="C164" s="477"/>
      <c r="D164" s="477"/>
      <c r="E164" s="477"/>
      <c r="F164" s="477"/>
      <c r="G164" s="477"/>
      <c r="H164" s="477"/>
      <c r="I164" s="8" t="s">
        <v>77</v>
      </c>
    </row>
    <row r="165" spans="1:11" x14ac:dyDescent="0.25">
      <c r="A165" s="253" t="s">
        <v>40</v>
      </c>
      <c r="B165" s="472" t="str">
        <f>A37</f>
        <v>MÓDULO 1 - COMPOSIÇÃO DA REMUNERAÇÃO</v>
      </c>
      <c r="C165" s="472"/>
      <c r="D165" s="472"/>
      <c r="E165" s="472"/>
      <c r="F165" s="472"/>
      <c r="G165" s="472"/>
      <c r="H165" s="472"/>
      <c r="I165" s="259">
        <f>I45</f>
        <v>1743.69</v>
      </c>
    </row>
    <row r="166" spans="1:11" x14ac:dyDescent="0.25">
      <c r="A166" s="253" t="s">
        <v>42</v>
      </c>
      <c r="B166" s="472" t="str">
        <f>A50</f>
        <v>MÓDULO 2 – ENCARGOS E BENEFÍCIOS ANUAIS, MENSAIS E DIÁRIOS</v>
      </c>
      <c r="C166" s="472"/>
      <c r="D166" s="472"/>
      <c r="E166" s="472"/>
      <c r="F166" s="472"/>
      <c r="G166" s="472"/>
      <c r="H166" s="472"/>
      <c r="I166" s="259">
        <f>I102</f>
        <v>2258.295309056</v>
      </c>
    </row>
    <row r="167" spans="1:11" ht="13" x14ac:dyDescent="0.3">
      <c r="A167" s="253" t="s">
        <v>45</v>
      </c>
      <c r="B167" s="472" t="str">
        <f>A104</f>
        <v>MÓDULO 3 – PROVISÃO PARA RESCISÃO</v>
      </c>
      <c r="C167" s="472"/>
      <c r="D167" s="472"/>
      <c r="E167" s="472"/>
      <c r="F167" s="472"/>
      <c r="G167" s="472"/>
      <c r="H167" s="472"/>
      <c r="I167" s="259">
        <f>I112</f>
        <v>123.93311548800001</v>
      </c>
      <c r="K167" s="9"/>
    </row>
    <row r="168" spans="1:11" ht="13" x14ac:dyDescent="0.3">
      <c r="A168" s="23" t="s">
        <v>48</v>
      </c>
      <c r="B168" s="472" t="str">
        <f>A114</f>
        <v>MÓDULO 4 – CUSTO DE REPOSIÇÃO DO PROFISSIONAL AUSENTE</v>
      </c>
      <c r="C168" s="472"/>
      <c r="D168" s="472"/>
      <c r="E168" s="472"/>
      <c r="F168" s="472"/>
      <c r="G168" s="472"/>
      <c r="H168" s="472"/>
      <c r="I168" s="259">
        <f>I138</f>
        <v>48.900042360000008</v>
      </c>
      <c r="K168" s="9"/>
    </row>
    <row r="169" spans="1:11" x14ac:dyDescent="0.25">
      <c r="A169" s="23" t="s">
        <v>84</v>
      </c>
      <c r="B169" s="472" t="str">
        <f>A140</f>
        <v>MÓDULO 5 – INSUMOS DIVERSOS</v>
      </c>
      <c r="C169" s="472"/>
      <c r="D169" s="472"/>
      <c r="E169" s="472"/>
      <c r="F169" s="472"/>
      <c r="G169" s="472"/>
      <c r="H169" s="472"/>
      <c r="I169" s="259">
        <f>I146</f>
        <v>163.85291666666669</v>
      </c>
    </row>
    <row r="170" spans="1:11" ht="13" x14ac:dyDescent="0.3">
      <c r="A170" s="8"/>
      <c r="B170" s="477" t="s">
        <v>201</v>
      </c>
      <c r="C170" s="477"/>
      <c r="D170" s="477"/>
      <c r="E170" s="477"/>
      <c r="F170" s="477"/>
      <c r="G170" s="477"/>
      <c r="H170" s="477"/>
      <c r="I170" s="26">
        <f>SUM(I165:I169)</f>
        <v>4338.6713835706669</v>
      </c>
      <c r="K170" s="7"/>
    </row>
    <row r="171" spans="1:11" x14ac:dyDescent="0.25">
      <c r="A171" s="23" t="s">
        <v>86</v>
      </c>
      <c r="B171" s="472" t="str">
        <f>A150</f>
        <v>MÓDULO 6 – CUSTOS INDIRETOS, TRIBUTOS E LUCRO</v>
      </c>
      <c r="C171" s="472"/>
      <c r="D171" s="472"/>
      <c r="E171" s="472"/>
      <c r="F171" s="472"/>
      <c r="G171" s="472"/>
      <c r="H171" s="472"/>
      <c r="I171" s="25">
        <f>I158</f>
        <v>1505.2533371571703</v>
      </c>
    </row>
    <row r="172" spans="1:11" ht="13" x14ac:dyDescent="0.3">
      <c r="A172" s="485" t="s">
        <v>202</v>
      </c>
      <c r="B172" s="485"/>
      <c r="C172" s="485"/>
      <c r="D172" s="485"/>
      <c r="E172" s="485"/>
      <c r="F172" s="485"/>
      <c r="G172" s="485"/>
      <c r="H172" s="485"/>
      <c r="I172" s="128">
        <f>SUM(I45,I102,I112,I138,I146,I152,I153)/(1-SUM(H155:H157))</f>
        <v>5843.9247207278377</v>
      </c>
    </row>
    <row r="173" spans="1:11" ht="13" x14ac:dyDescent="0.3">
      <c r="A173" s="3"/>
      <c r="B173" s="3"/>
      <c r="C173" s="3"/>
      <c r="D173" s="3"/>
      <c r="E173" s="3"/>
      <c r="F173" s="3"/>
      <c r="G173" s="3"/>
      <c r="H173" s="3"/>
      <c r="I173" s="4"/>
    </row>
    <row r="175" spans="1:11" ht="13" outlineLevel="1" x14ac:dyDescent="0.25">
      <c r="A175" s="517" t="s">
        <v>232</v>
      </c>
      <c r="B175" s="518"/>
      <c r="C175" s="518"/>
      <c r="D175" s="518"/>
      <c r="E175" s="518"/>
      <c r="F175" s="518"/>
      <c r="G175" s="518"/>
      <c r="H175" s="518"/>
      <c r="I175" s="519"/>
    </row>
    <row r="176" spans="1:11" ht="13" outlineLevel="1" x14ac:dyDescent="0.3">
      <c r="A176" s="529"/>
      <c r="B176" s="530"/>
      <c r="C176" s="530"/>
      <c r="D176" s="530"/>
      <c r="E176" s="530"/>
      <c r="F176" s="530"/>
      <c r="G176" s="530"/>
      <c r="H176" s="530"/>
      <c r="I176" s="531"/>
    </row>
    <row r="178" spans="1:9" s="41" customFormat="1" x14ac:dyDescent="0.25"/>
    <row r="179" spans="1:9" x14ac:dyDescent="0.25">
      <c r="A179" s="556" t="s">
        <v>235</v>
      </c>
      <c r="B179" s="557"/>
      <c r="C179" s="557"/>
      <c r="D179" s="557"/>
      <c r="E179" s="557"/>
      <c r="F179" s="557"/>
      <c r="G179" s="557"/>
      <c r="H179" s="557"/>
      <c r="I179" s="558"/>
    </row>
    <row r="180" spans="1:9" x14ac:dyDescent="0.25">
      <c r="A180" s="559"/>
      <c r="B180" s="560"/>
      <c r="C180" s="560"/>
      <c r="D180" s="560"/>
      <c r="E180" s="560"/>
      <c r="F180" s="560"/>
      <c r="G180" s="560"/>
      <c r="H180" s="560"/>
      <c r="I180" s="561"/>
    </row>
    <row r="181" spans="1:9" ht="32.15" customHeight="1" x14ac:dyDescent="0.25">
      <c r="A181" s="522" t="s">
        <v>69</v>
      </c>
      <c r="B181" s="522"/>
      <c r="C181" s="522"/>
      <c r="D181" s="522">
        <v>22</v>
      </c>
      <c r="E181" s="541"/>
      <c r="F181" s="541"/>
      <c r="G181" s="542">
        <f>I172</f>
        <v>5843.9247207278377</v>
      </c>
      <c r="H181" s="541"/>
      <c r="I181" s="293">
        <f>TRUNC(G181/D181,2)</f>
        <v>265.63</v>
      </c>
    </row>
    <row r="182" spans="1:9" ht="13" x14ac:dyDescent="0.3">
      <c r="A182" s="477" t="s">
        <v>236</v>
      </c>
      <c r="B182" s="477"/>
      <c r="C182" s="477"/>
      <c r="D182" s="477"/>
      <c r="E182" s="477"/>
      <c r="F182" s="477"/>
      <c r="G182" s="477"/>
      <c r="H182" s="477"/>
      <c r="I182" s="174">
        <f>SUM(I181:I181)</f>
        <v>265.63</v>
      </c>
    </row>
  </sheetData>
  <mergeCells count="125">
    <mergeCell ref="A1:I1"/>
    <mergeCell ref="A3:F3"/>
    <mergeCell ref="A4:F4"/>
    <mergeCell ref="A6:F6"/>
    <mergeCell ref="A8:I8"/>
    <mergeCell ref="B9:H9"/>
    <mergeCell ref="A16:B16"/>
    <mergeCell ref="C16:D16"/>
    <mergeCell ref="E16:I16"/>
    <mergeCell ref="A27:I27"/>
    <mergeCell ref="B28:H28"/>
    <mergeCell ref="B29:H29"/>
    <mergeCell ref="B10:H10"/>
    <mergeCell ref="B11:H11"/>
    <mergeCell ref="B12:H12"/>
    <mergeCell ref="A14:I14"/>
    <mergeCell ref="A15:B15"/>
    <mergeCell ref="C15:D15"/>
    <mergeCell ref="E15:I15"/>
    <mergeCell ref="B40:G40"/>
    <mergeCell ref="B41:G41"/>
    <mergeCell ref="B42:G42"/>
    <mergeCell ref="B43:G43"/>
    <mergeCell ref="B44:G44"/>
    <mergeCell ref="A45:H45"/>
    <mergeCell ref="B30:H30"/>
    <mergeCell ref="B31:H31"/>
    <mergeCell ref="B32:H32"/>
    <mergeCell ref="A37:I37"/>
    <mergeCell ref="B38:G38"/>
    <mergeCell ref="B39:G39"/>
    <mergeCell ref="A56:G56"/>
    <mergeCell ref="B66:G66"/>
    <mergeCell ref="B67:G67"/>
    <mergeCell ref="B68:G68"/>
    <mergeCell ref="B69:G69"/>
    <mergeCell ref="B70:G70"/>
    <mergeCell ref="A50:I50"/>
    <mergeCell ref="B51:G51"/>
    <mergeCell ref="B52:G52"/>
    <mergeCell ref="B53:G53"/>
    <mergeCell ref="A54:G54"/>
    <mergeCell ref="B55:G55"/>
    <mergeCell ref="B84:G84"/>
    <mergeCell ref="B85:G85"/>
    <mergeCell ref="B86:G86"/>
    <mergeCell ref="B87:G87"/>
    <mergeCell ref="B88:G88"/>
    <mergeCell ref="B89:G89"/>
    <mergeCell ref="B71:G71"/>
    <mergeCell ref="B72:G72"/>
    <mergeCell ref="B73:G73"/>
    <mergeCell ref="B74:G74"/>
    <mergeCell ref="A75:G75"/>
    <mergeCell ref="B83:G83"/>
    <mergeCell ref="A103:I103"/>
    <mergeCell ref="A104:I104"/>
    <mergeCell ref="B105:G105"/>
    <mergeCell ref="B106:G106"/>
    <mergeCell ref="B107:G107"/>
    <mergeCell ref="B108:G108"/>
    <mergeCell ref="A90:H90"/>
    <mergeCell ref="A98:H98"/>
    <mergeCell ref="B99:H99"/>
    <mergeCell ref="B100:H100"/>
    <mergeCell ref="B101:H101"/>
    <mergeCell ref="A102:H102"/>
    <mergeCell ref="B119:G119"/>
    <mergeCell ref="B120:G120"/>
    <mergeCell ref="B121:G121"/>
    <mergeCell ref="B122:G122"/>
    <mergeCell ref="B123:G123"/>
    <mergeCell ref="B124:G124"/>
    <mergeCell ref="B109:G109"/>
    <mergeCell ref="B110:G110"/>
    <mergeCell ref="B111:G111"/>
    <mergeCell ref="A112:G112"/>
    <mergeCell ref="A113:I113"/>
    <mergeCell ref="A114:I114"/>
    <mergeCell ref="A132:G132"/>
    <mergeCell ref="A134:I134"/>
    <mergeCell ref="B135:G135"/>
    <mergeCell ref="B136:G136"/>
    <mergeCell ref="B137:G137"/>
    <mergeCell ref="A138:H138"/>
    <mergeCell ref="B125:G125"/>
    <mergeCell ref="A126:G126"/>
    <mergeCell ref="B127:G127"/>
    <mergeCell ref="A128:G128"/>
    <mergeCell ref="B130:G130"/>
    <mergeCell ref="B131:G131"/>
    <mergeCell ref="B145:G145"/>
    <mergeCell ref="A146:G146"/>
    <mergeCell ref="A150:I150"/>
    <mergeCell ref="B151:G151"/>
    <mergeCell ref="B152:G152"/>
    <mergeCell ref="B153:G153"/>
    <mergeCell ref="A139:I139"/>
    <mergeCell ref="A140:I140"/>
    <mergeCell ref="B141:G141"/>
    <mergeCell ref="B142:G142"/>
    <mergeCell ref="B143:G143"/>
    <mergeCell ref="B144:G144"/>
    <mergeCell ref="A164:H164"/>
    <mergeCell ref="B165:H165"/>
    <mergeCell ref="B166:H166"/>
    <mergeCell ref="B167:H167"/>
    <mergeCell ref="B168:H168"/>
    <mergeCell ref="B169:H169"/>
    <mergeCell ref="B154:G154"/>
    <mergeCell ref="B155:G155"/>
    <mergeCell ref="B156:G156"/>
    <mergeCell ref="B157:G157"/>
    <mergeCell ref="A158:G158"/>
    <mergeCell ref="A163:I163"/>
    <mergeCell ref="A179:I180"/>
    <mergeCell ref="A181:C181"/>
    <mergeCell ref="D181:F181"/>
    <mergeCell ref="G181:H181"/>
    <mergeCell ref="A182:H182"/>
    <mergeCell ref="B170:H170"/>
    <mergeCell ref="B171:H171"/>
    <mergeCell ref="A172:H172"/>
    <mergeCell ref="A175:I175"/>
    <mergeCell ref="A176:I176"/>
  </mergeCells>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48E3A4-C0D6-4725-9077-9669807B8F6A}">
  <sheetPr>
    <tabColor rgb="FF00B0F0"/>
  </sheetPr>
  <dimension ref="A1:M187"/>
  <sheetViews>
    <sheetView topLeftCell="A151" zoomScale="85" zoomScaleNormal="85" workbookViewId="0">
      <selection activeCell="C16" sqref="C16:D16"/>
    </sheetView>
  </sheetViews>
  <sheetFormatPr defaultRowHeight="12.5" outlineLevelRow="1" x14ac:dyDescent="0.25"/>
  <cols>
    <col min="1" max="1" width="7.7265625" customWidth="1"/>
    <col min="2" max="2" width="15.26953125" customWidth="1"/>
    <col min="4" max="4" width="20.54296875" customWidth="1"/>
    <col min="5" max="5" width="17.7265625" customWidth="1"/>
    <col min="6" max="6" width="12.81640625" customWidth="1"/>
    <col min="7" max="7" width="15.7265625" customWidth="1"/>
    <col min="8" max="8" width="11.81640625" customWidth="1"/>
    <col min="9" max="9" width="17.54296875" customWidth="1"/>
    <col min="10" max="10" width="5" customWidth="1"/>
    <col min="11" max="11" width="26.26953125" customWidth="1"/>
    <col min="12" max="12" width="15.81640625" customWidth="1"/>
    <col min="13" max="13" width="9.54296875" bestFit="1" customWidth="1"/>
  </cols>
  <sheetData>
    <row r="1" spans="1:9" ht="13" x14ac:dyDescent="0.3">
      <c r="A1" s="487" t="s">
        <v>33</v>
      </c>
      <c r="B1" s="488"/>
      <c r="C1" s="488"/>
      <c r="D1" s="488"/>
      <c r="E1" s="488"/>
      <c r="F1" s="488"/>
      <c r="G1" s="488"/>
      <c r="H1" s="488"/>
      <c r="I1" s="527"/>
    </row>
    <row r="2" spans="1:9" x14ac:dyDescent="0.25">
      <c r="A2" s="251"/>
      <c r="B2" s="251"/>
      <c r="C2" s="251"/>
      <c r="D2" s="251"/>
      <c r="E2" s="251"/>
      <c r="F2" s="251"/>
      <c r="G2" s="251"/>
      <c r="H2" s="251"/>
      <c r="I2" s="251"/>
    </row>
    <row r="3" spans="1:9" ht="15" customHeight="1" x14ac:dyDescent="0.25">
      <c r="A3" s="564" t="s">
        <v>35</v>
      </c>
      <c r="B3" s="490"/>
      <c r="C3" s="490"/>
      <c r="D3" s="490"/>
      <c r="E3" s="490"/>
      <c r="F3" s="490"/>
      <c r="G3" s="251"/>
      <c r="H3" s="251"/>
      <c r="I3" s="251"/>
    </row>
    <row r="4" spans="1:9" ht="15" customHeight="1" x14ac:dyDescent="0.25">
      <c r="A4" s="490" t="s">
        <v>37</v>
      </c>
      <c r="B4" s="490"/>
      <c r="C4" s="490"/>
      <c r="D4" s="490"/>
      <c r="E4" s="490"/>
      <c r="F4" s="490"/>
      <c r="G4" s="251"/>
      <c r="H4" s="251"/>
      <c r="I4" s="251"/>
    </row>
    <row r="5" spans="1:9" ht="13" x14ac:dyDescent="0.3">
      <c r="A5" s="10"/>
      <c r="B5" s="10"/>
      <c r="C5" s="10"/>
      <c r="D5" s="10"/>
      <c r="E5" s="10"/>
      <c r="F5" s="10"/>
      <c r="G5" s="10"/>
      <c r="H5" s="10"/>
      <c r="I5" s="10"/>
    </row>
    <row r="6" spans="1:9" ht="13" x14ac:dyDescent="0.3">
      <c r="A6" s="490" t="s">
        <v>38</v>
      </c>
      <c r="B6" s="490"/>
      <c r="C6" s="490"/>
      <c r="D6" s="490"/>
      <c r="E6" s="490"/>
      <c r="F6" s="490"/>
      <c r="G6" s="10"/>
      <c r="H6" s="10"/>
      <c r="I6" s="10"/>
    </row>
    <row r="7" spans="1:9" x14ac:dyDescent="0.25">
      <c r="A7" s="252"/>
      <c r="B7" s="252"/>
      <c r="C7" s="252"/>
      <c r="D7" s="252"/>
      <c r="E7" s="252"/>
      <c r="F7" s="252"/>
      <c r="G7" s="252"/>
      <c r="H7" s="252"/>
      <c r="I7" s="252"/>
    </row>
    <row r="8" spans="1:9" ht="13" x14ac:dyDescent="0.3">
      <c r="A8" s="480" t="s">
        <v>39</v>
      </c>
      <c r="B8" s="480"/>
      <c r="C8" s="480"/>
      <c r="D8" s="480"/>
      <c r="E8" s="480"/>
      <c r="F8" s="480"/>
      <c r="G8" s="480"/>
      <c r="H8" s="480"/>
      <c r="I8" s="480"/>
    </row>
    <row r="9" spans="1:9" x14ac:dyDescent="0.25">
      <c r="A9" s="253" t="s">
        <v>40</v>
      </c>
      <c r="B9" s="478" t="s">
        <v>41</v>
      </c>
      <c r="C9" s="472"/>
      <c r="D9" s="472"/>
      <c r="E9" s="472"/>
      <c r="F9" s="472"/>
      <c r="G9" s="472"/>
      <c r="H9" s="472"/>
      <c r="I9" s="325"/>
    </row>
    <row r="10" spans="1:9" x14ac:dyDescent="0.25">
      <c r="A10" s="253" t="s">
        <v>42</v>
      </c>
      <c r="B10" s="478" t="s">
        <v>43</v>
      </c>
      <c r="C10" s="472"/>
      <c r="D10" s="472"/>
      <c r="E10" s="472"/>
      <c r="F10" s="472"/>
      <c r="G10" s="472"/>
      <c r="H10" s="472"/>
      <c r="I10" s="326" t="s">
        <v>44</v>
      </c>
    </row>
    <row r="11" spans="1:9" x14ac:dyDescent="0.25">
      <c r="A11" s="253" t="s">
        <v>45</v>
      </c>
      <c r="B11" s="478" t="s">
        <v>46</v>
      </c>
      <c r="C11" s="478"/>
      <c r="D11" s="478"/>
      <c r="E11" s="478"/>
      <c r="F11" s="478"/>
      <c r="G11" s="478"/>
      <c r="H11" s="478"/>
      <c r="I11" s="326" t="s">
        <v>237</v>
      </c>
    </row>
    <row r="12" spans="1:9" x14ac:dyDescent="0.25">
      <c r="A12" s="253" t="s">
        <v>48</v>
      </c>
      <c r="B12" s="478" t="s">
        <v>49</v>
      </c>
      <c r="C12" s="472"/>
      <c r="D12" s="472"/>
      <c r="E12" s="472"/>
      <c r="F12" s="472"/>
      <c r="G12" s="472"/>
      <c r="H12" s="472"/>
      <c r="I12" s="327">
        <v>60</v>
      </c>
    </row>
    <row r="13" spans="1:9" x14ac:dyDescent="0.25">
      <c r="A13" s="251"/>
      <c r="B13" s="252"/>
      <c r="C13" s="252"/>
      <c r="D13" s="252"/>
      <c r="E13" s="252"/>
      <c r="F13" s="252"/>
      <c r="G13" s="252"/>
      <c r="H13" s="251"/>
      <c r="I13" s="251"/>
    </row>
    <row r="14" spans="1:9" ht="13" x14ac:dyDescent="0.3">
      <c r="A14" s="480" t="s">
        <v>50</v>
      </c>
      <c r="B14" s="480"/>
      <c r="C14" s="480"/>
      <c r="D14" s="480"/>
      <c r="E14" s="480"/>
      <c r="F14" s="480"/>
      <c r="G14" s="480"/>
      <c r="H14" s="480"/>
      <c r="I14" s="480"/>
    </row>
    <row r="15" spans="1:9" ht="13" x14ac:dyDescent="0.3">
      <c r="A15" s="477" t="s">
        <v>51</v>
      </c>
      <c r="B15" s="477"/>
      <c r="C15" s="477" t="s">
        <v>52</v>
      </c>
      <c r="D15" s="477"/>
      <c r="E15" s="477" t="s">
        <v>53</v>
      </c>
      <c r="F15" s="477"/>
      <c r="G15" s="477"/>
      <c r="H15" s="477"/>
      <c r="I15" s="477"/>
    </row>
    <row r="16" spans="1:9" s="50" customFormat="1" ht="25.5" customHeight="1" x14ac:dyDescent="0.25">
      <c r="A16" s="522" t="s">
        <v>564</v>
      </c>
      <c r="B16" s="521"/>
      <c r="C16" s="522"/>
      <c r="D16" s="521"/>
      <c r="E16" s="565">
        <v>1</v>
      </c>
      <c r="F16" s="566"/>
      <c r="G16" s="566"/>
      <c r="H16" s="566"/>
      <c r="I16" s="567"/>
    </row>
    <row r="17" spans="1:9" ht="15" customHeight="1" x14ac:dyDescent="0.25">
      <c r="A17" s="39"/>
      <c r="B17" s="255"/>
      <c r="C17" s="40"/>
      <c r="D17" s="256"/>
      <c r="E17" s="41"/>
      <c r="F17" s="257"/>
      <c r="G17" s="257"/>
      <c r="H17" s="257"/>
      <c r="I17" s="257"/>
    </row>
    <row r="18" spans="1:9" ht="15" customHeight="1" x14ac:dyDescent="0.25">
      <c r="A18" s="37" t="s">
        <v>55</v>
      </c>
      <c r="B18" s="255"/>
      <c r="C18" s="40"/>
      <c r="D18" s="256"/>
      <c r="E18" s="41"/>
      <c r="F18" s="257"/>
      <c r="G18" s="257"/>
      <c r="H18" s="257"/>
      <c r="I18" s="257"/>
    </row>
    <row r="19" spans="1:9" ht="15" customHeight="1" x14ac:dyDescent="0.25">
      <c r="A19" s="37" t="s">
        <v>56</v>
      </c>
      <c r="B19" s="255"/>
      <c r="C19" s="40"/>
      <c r="D19" s="256"/>
      <c r="E19" s="41"/>
      <c r="F19" s="257"/>
      <c r="G19" s="257"/>
      <c r="H19" s="257"/>
      <c r="I19" s="257"/>
    </row>
    <row r="20" spans="1:9" ht="15" customHeight="1" x14ac:dyDescent="0.25">
      <c r="A20" s="37" t="s">
        <v>57</v>
      </c>
      <c r="B20" s="255"/>
      <c r="C20" s="40"/>
      <c r="D20" s="256"/>
      <c r="E20" s="41"/>
      <c r="F20" s="257"/>
      <c r="G20" s="257"/>
      <c r="H20" s="257"/>
      <c r="I20" s="257"/>
    </row>
    <row r="21" spans="1:9" ht="15" customHeight="1" x14ac:dyDescent="0.25">
      <c r="A21" s="37" t="s">
        <v>58</v>
      </c>
      <c r="B21" s="255"/>
      <c r="C21" s="40"/>
      <c r="D21" s="256"/>
      <c r="E21" s="41"/>
      <c r="F21" s="257"/>
      <c r="G21" s="257"/>
      <c r="H21" s="257"/>
      <c r="I21" s="257"/>
    </row>
    <row r="22" spans="1:9" ht="15" customHeight="1" x14ac:dyDescent="0.25">
      <c r="A22" s="55"/>
      <c r="B22" s="255"/>
      <c r="C22" s="40"/>
      <c r="D22" s="256"/>
      <c r="E22" s="41"/>
      <c r="F22" s="257"/>
      <c r="G22" s="257"/>
      <c r="H22" s="257"/>
      <c r="I22" s="257"/>
    </row>
    <row r="23" spans="1:9" ht="15" customHeight="1" x14ac:dyDescent="0.25">
      <c r="A23" s="38" t="s">
        <v>59</v>
      </c>
      <c r="B23" s="255"/>
      <c r="C23" s="40"/>
      <c r="D23" s="256"/>
      <c r="E23" s="41"/>
      <c r="F23" s="257"/>
      <c r="G23" s="257"/>
      <c r="H23" s="257"/>
      <c r="I23" s="257"/>
    </row>
    <row r="24" spans="1:9" ht="15" customHeight="1" x14ac:dyDescent="0.25">
      <c r="A24" s="39"/>
      <c r="B24" s="255"/>
      <c r="C24" s="40"/>
      <c r="D24" s="256"/>
      <c r="E24" s="41"/>
      <c r="F24" s="257"/>
      <c r="G24" s="257"/>
      <c r="H24" s="257"/>
      <c r="I24" s="257"/>
    </row>
    <row r="25" spans="1:9" ht="15" customHeight="1" x14ac:dyDescent="0.25">
      <c r="A25" s="38" t="s">
        <v>60</v>
      </c>
      <c r="B25" s="255"/>
      <c r="C25" s="40"/>
      <c r="D25" s="256"/>
      <c r="E25" s="41"/>
      <c r="F25" s="257"/>
      <c r="G25" s="257"/>
      <c r="H25" s="257"/>
      <c r="I25" s="257"/>
    </row>
    <row r="26" spans="1:9" ht="15" customHeight="1" x14ac:dyDescent="0.25">
      <c r="A26" s="37" t="s">
        <v>61</v>
      </c>
      <c r="B26" s="255"/>
      <c r="C26" s="40"/>
      <c r="D26" s="256"/>
      <c r="E26" s="41"/>
      <c r="F26" s="257"/>
      <c r="G26" s="257"/>
      <c r="H26" s="257"/>
      <c r="I26" s="257"/>
    </row>
    <row r="27" spans="1:9" ht="13" x14ac:dyDescent="0.3">
      <c r="A27" s="480" t="s">
        <v>62</v>
      </c>
      <c r="B27" s="480"/>
      <c r="C27" s="480"/>
      <c r="D27" s="480"/>
      <c r="E27" s="480"/>
      <c r="F27" s="480"/>
      <c r="G27" s="480"/>
      <c r="H27" s="480"/>
      <c r="I27" s="480"/>
    </row>
    <row r="28" spans="1:9" x14ac:dyDescent="0.25">
      <c r="A28" s="254">
        <v>1</v>
      </c>
      <c r="B28" s="516" t="s">
        <v>63</v>
      </c>
      <c r="C28" s="516"/>
      <c r="D28" s="516"/>
      <c r="E28" s="516"/>
      <c r="F28" s="516"/>
      <c r="G28" s="516"/>
      <c r="H28" s="516"/>
      <c r="I28" s="337" t="str">
        <f>A16</f>
        <v>Jardinagem</v>
      </c>
    </row>
    <row r="29" spans="1:9" x14ac:dyDescent="0.25">
      <c r="A29" s="253">
        <v>2</v>
      </c>
      <c r="B29" s="478" t="s">
        <v>64</v>
      </c>
      <c r="C29" s="478"/>
      <c r="D29" s="478"/>
      <c r="E29" s="478"/>
      <c r="F29" s="478"/>
      <c r="G29" s="478"/>
      <c r="H29" s="478"/>
      <c r="I29" s="338" t="s">
        <v>28</v>
      </c>
    </row>
    <row r="30" spans="1:9" x14ac:dyDescent="0.25">
      <c r="A30" s="253">
        <v>3</v>
      </c>
      <c r="B30" s="472" t="s">
        <v>67</v>
      </c>
      <c r="C30" s="472"/>
      <c r="D30" s="472"/>
      <c r="E30" s="472"/>
      <c r="F30" s="472"/>
      <c r="G30" s="472"/>
      <c r="H30" s="472"/>
      <c r="I30" s="339">
        <v>2574.37</v>
      </c>
    </row>
    <row r="31" spans="1:9" x14ac:dyDescent="0.25">
      <c r="A31" s="254">
        <v>4</v>
      </c>
      <c r="B31" s="516" t="s">
        <v>68</v>
      </c>
      <c r="C31" s="516"/>
      <c r="D31" s="516"/>
      <c r="E31" s="516"/>
      <c r="F31" s="516"/>
      <c r="G31" s="516"/>
      <c r="H31" s="516"/>
      <c r="I31" s="340" t="s">
        <v>238</v>
      </c>
    </row>
    <row r="32" spans="1:9" x14ac:dyDescent="0.25">
      <c r="A32" s="253">
        <v>5</v>
      </c>
      <c r="B32" s="478" t="s">
        <v>71</v>
      </c>
      <c r="C32" s="472"/>
      <c r="D32" s="472"/>
      <c r="E32" s="472"/>
      <c r="F32" s="472"/>
      <c r="G32" s="472"/>
      <c r="H32" s="472"/>
      <c r="I32" s="325">
        <v>45686</v>
      </c>
    </row>
    <row r="33" spans="1:10" x14ac:dyDescent="0.25">
      <c r="A33" s="251"/>
      <c r="B33" s="252"/>
      <c r="C33" s="252"/>
      <c r="D33" s="252"/>
      <c r="E33" s="252"/>
      <c r="F33" s="252"/>
      <c r="G33" s="252"/>
      <c r="H33" s="252"/>
      <c r="I33" s="258"/>
    </row>
    <row r="34" spans="1:10" ht="13" x14ac:dyDescent="0.25">
      <c r="A34" s="37" t="s">
        <v>72</v>
      </c>
      <c r="B34" s="252"/>
      <c r="C34" s="252"/>
      <c r="D34" s="252"/>
      <c r="E34" s="252"/>
      <c r="F34" s="252"/>
      <c r="G34" s="252"/>
      <c r="H34" s="252"/>
      <c r="I34" s="258"/>
    </row>
    <row r="35" spans="1:10" ht="13" x14ac:dyDescent="0.25">
      <c r="A35" s="37" t="s">
        <v>73</v>
      </c>
      <c r="B35" s="252"/>
      <c r="C35" s="252"/>
      <c r="D35" s="252"/>
      <c r="E35" s="252"/>
      <c r="F35" s="252"/>
      <c r="G35" s="252"/>
      <c r="H35" s="252"/>
      <c r="I35" s="258"/>
    </row>
    <row r="37" spans="1:10" ht="13" x14ac:dyDescent="0.3">
      <c r="A37" s="492" t="s">
        <v>74</v>
      </c>
      <c r="B37" s="492"/>
      <c r="C37" s="492"/>
      <c r="D37" s="492"/>
      <c r="E37" s="492"/>
      <c r="F37" s="492"/>
      <c r="G37" s="492"/>
      <c r="H37" s="492"/>
      <c r="I37" s="492"/>
    </row>
    <row r="38" spans="1:10" ht="13" x14ac:dyDescent="0.3">
      <c r="A38" s="8">
        <v>1</v>
      </c>
      <c r="B38" s="477" t="s">
        <v>75</v>
      </c>
      <c r="C38" s="477"/>
      <c r="D38" s="477"/>
      <c r="E38" s="477"/>
      <c r="F38" s="477"/>
      <c r="G38" s="477"/>
      <c r="H38" s="8" t="s">
        <v>76</v>
      </c>
      <c r="I38" s="8" t="s">
        <v>77</v>
      </c>
    </row>
    <row r="39" spans="1:10" ht="13" x14ac:dyDescent="0.3">
      <c r="A39" s="8" t="s">
        <v>40</v>
      </c>
      <c r="B39" s="478" t="s">
        <v>78</v>
      </c>
      <c r="C39" s="478"/>
      <c r="D39" s="478"/>
      <c r="E39" s="478"/>
      <c r="F39" s="478"/>
      <c r="G39" s="478"/>
      <c r="H39" s="22"/>
      <c r="I39" s="164">
        <f>I30</f>
        <v>2574.37</v>
      </c>
    </row>
    <row r="40" spans="1:10" ht="13" x14ac:dyDescent="0.3">
      <c r="A40" s="8" t="s">
        <v>42</v>
      </c>
      <c r="B40" s="478" t="s">
        <v>79</v>
      </c>
      <c r="C40" s="478"/>
      <c r="D40" s="478"/>
      <c r="E40" s="478"/>
      <c r="F40" s="478"/>
      <c r="G40" s="478"/>
      <c r="H40" s="2"/>
      <c r="I40" s="164">
        <f>I39*H40</f>
        <v>0</v>
      </c>
      <c r="J40" s="32" t="s">
        <v>80</v>
      </c>
    </row>
    <row r="41" spans="1:10" ht="13" x14ac:dyDescent="0.3">
      <c r="A41" s="8" t="s">
        <v>45</v>
      </c>
      <c r="B41" s="478" t="s">
        <v>81</v>
      </c>
      <c r="C41" s="478"/>
      <c r="D41" s="478"/>
      <c r="E41" s="478"/>
      <c r="F41" s="478"/>
      <c r="G41" s="478"/>
      <c r="H41" s="2"/>
      <c r="I41" s="164">
        <f>H41*I39</f>
        <v>0</v>
      </c>
    </row>
    <row r="42" spans="1:10" ht="13" x14ac:dyDescent="0.3">
      <c r="A42" s="8" t="s">
        <v>48</v>
      </c>
      <c r="B42" s="478" t="s">
        <v>82</v>
      </c>
      <c r="C42" s="478"/>
      <c r="D42" s="478"/>
      <c r="E42" s="478"/>
      <c r="F42" s="478"/>
      <c r="G42" s="478"/>
      <c r="H42" s="2"/>
      <c r="I42" s="164">
        <v>0</v>
      </c>
      <c r="J42" s="32" t="s">
        <v>83</v>
      </c>
    </row>
    <row r="43" spans="1:10" ht="13" x14ac:dyDescent="0.3">
      <c r="A43" s="8" t="s">
        <v>84</v>
      </c>
      <c r="B43" s="478" t="s">
        <v>85</v>
      </c>
      <c r="C43" s="478"/>
      <c r="D43" s="478"/>
      <c r="E43" s="478"/>
      <c r="F43" s="478"/>
      <c r="G43" s="478"/>
      <c r="H43" s="5"/>
      <c r="I43" s="164">
        <v>0</v>
      </c>
      <c r="J43" s="32" t="s">
        <v>83</v>
      </c>
    </row>
    <row r="44" spans="1:10" ht="13" x14ac:dyDescent="0.3">
      <c r="A44" s="8" t="s">
        <v>86</v>
      </c>
      <c r="B44" s="478" t="s">
        <v>87</v>
      </c>
      <c r="C44" s="478"/>
      <c r="D44" s="478"/>
      <c r="E44" s="478"/>
      <c r="F44" s="478"/>
      <c r="G44" s="478"/>
      <c r="H44" s="2"/>
      <c r="I44" s="164">
        <v>0</v>
      </c>
    </row>
    <row r="45" spans="1:10" ht="13" x14ac:dyDescent="0.3">
      <c r="A45" s="485" t="s">
        <v>88</v>
      </c>
      <c r="B45" s="480"/>
      <c r="C45" s="480"/>
      <c r="D45" s="480"/>
      <c r="E45" s="480"/>
      <c r="F45" s="480"/>
      <c r="G45" s="480"/>
      <c r="H45" s="480"/>
      <c r="I45" s="165">
        <f>SUM(I39:I44)</f>
        <v>2574.37</v>
      </c>
    </row>
    <row r="46" spans="1:10" s="10" customFormat="1" ht="13" x14ac:dyDescent="0.3"/>
    <row r="47" spans="1:10" s="10" customFormat="1" ht="13" x14ac:dyDescent="0.3">
      <c r="A47" s="37" t="s">
        <v>89</v>
      </c>
    </row>
    <row r="48" spans="1:10" s="10" customFormat="1" ht="13" x14ac:dyDescent="0.3">
      <c r="A48" s="37" t="s">
        <v>90</v>
      </c>
    </row>
    <row r="49" spans="1:11" ht="13" x14ac:dyDescent="0.3">
      <c r="A49" s="3"/>
      <c r="B49" s="3"/>
      <c r="C49" s="3"/>
      <c r="D49" s="3"/>
      <c r="E49" s="3"/>
      <c r="F49" s="3"/>
      <c r="G49" s="3"/>
      <c r="H49" s="3"/>
      <c r="I49" s="4"/>
    </row>
    <row r="50" spans="1:11" ht="13" x14ac:dyDescent="0.3">
      <c r="A50" s="492" t="s">
        <v>91</v>
      </c>
      <c r="B50" s="492"/>
      <c r="C50" s="492"/>
      <c r="D50" s="492"/>
      <c r="E50" s="492"/>
      <c r="F50" s="492"/>
      <c r="G50" s="492"/>
      <c r="H50" s="492"/>
      <c r="I50" s="492"/>
    </row>
    <row r="51" spans="1:11" ht="13" x14ac:dyDescent="0.3">
      <c r="A51" s="47" t="s">
        <v>92</v>
      </c>
      <c r="B51" s="508" t="s">
        <v>93</v>
      </c>
      <c r="C51" s="509"/>
      <c r="D51" s="509"/>
      <c r="E51" s="509"/>
      <c r="F51" s="509"/>
      <c r="G51" s="510"/>
      <c r="H51" s="8" t="s">
        <v>76</v>
      </c>
      <c r="I51" s="8" t="s">
        <v>77</v>
      </c>
    </row>
    <row r="52" spans="1:11" ht="13" x14ac:dyDescent="0.3">
      <c r="A52" s="8" t="s">
        <v>40</v>
      </c>
      <c r="B52" s="478" t="s">
        <v>94</v>
      </c>
      <c r="C52" s="478"/>
      <c r="D52" s="478"/>
      <c r="E52" s="478"/>
      <c r="F52" s="478"/>
      <c r="G52" s="478"/>
      <c r="H52" s="1">
        <f>1/12</f>
        <v>8.3333333333333329E-2</v>
      </c>
      <c r="I52" s="25">
        <f>$I$45*H52</f>
        <v>214.53083333333331</v>
      </c>
      <c r="K52" s="87"/>
    </row>
    <row r="53" spans="1:11" ht="13" x14ac:dyDescent="0.3">
      <c r="A53" s="8" t="s">
        <v>42</v>
      </c>
      <c r="B53" s="478" t="s">
        <v>95</v>
      </c>
      <c r="C53" s="478"/>
      <c r="D53" s="478"/>
      <c r="E53" s="478"/>
      <c r="F53" s="478"/>
      <c r="G53" s="478"/>
      <c r="H53" s="24">
        <v>0.121</v>
      </c>
      <c r="I53" s="25">
        <f>$I$45*H53</f>
        <v>311.49876999999998</v>
      </c>
    </row>
    <row r="54" spans="1:11" ht="13" x14ac:dyDescent="0.3">
      <c r="A54" s="480" t="s">
        <v>96</v>
      </c>
      <c r="B54" s="480"/>
      <c r="C54" s="480"/>
      <c r="D54" s="480"/>
      <c r="E54" s="480"/>
      <c r="F54" s="480"/>
      <c r="G54" s="480"/>
      <c r="H54" s="42">
        <f>TRUNC(SUM(H52:H53),4)</f>
        <v>0.20430000000000001</v>
      </c>
      <c r="I54" s="43">
        <f>SUM(I52:I53)</f>
        <v>526.02960333333328</v>
      </c>
    </row>
    <row r="55" spans="1:11" ht="22" customHeight="1" x14ac:dyDescent="0.25">
      <c r="A55" s="47" t="s">
        <v>45</v>
      </c>
      <c r="B55" s="481" t="s">
        <v>97</v>
      </c>
      <c r="C55" s="481"/>
      <c r="D55" s="481"/>
      <c r="E55" s="481"/>
      <c r="F55" s="481"/>
      <c r="G55" s="481"/>
      <c r="H55" s="160">
        <f>H54*H75</f>
        <v>7.518240000000001E-2</v>
      </c>
      <c r="I55" s="161">
        <f>$I$45*H55</f>
        <v>193.547315088</v>
      </c>
    </row>
    <row r="56" spans="1:11" ht="13" x14ac:dyDescent="0.3">
      <c r="A56" s="480" t="s">
        <v>98</v>
      </c>
      <c r="B56" s="480"/>
      <c r="C56" s="480"/>
      <c r="D56" s="480"/>
      <c r="E56" s="480"/>
      <c r="F56" s="480"/>
      <c r="G56" s="480"/>
      <c r="H56" s="42">
        <f>TRUNC(SUM(H54:H55),4)</f>
        <v>0.27939999999999998</v>
      </c>
      <c r="I56" s="43">
        <f>SUM(I54:I55)</f>
        <v>719.57691842133329</v>
      </c>
    </row>
    <row r="57" spans="1:11" ht="13" x14ac:dyDescent="0.3">
      <c r="A57" s="3"/>
      <c r="B57" s="3"/>
      <c r="C57" s="3"/>
      <c r="D57" s="3"/>
      <c r="E57" s="3"/>
      <c r="F57" s="3"/>
      <c r="G57" s="3"/>
      <c r="H57" s="44"/>
      <c r="I57" s="4"/>
    </row>
    <row r="58" spans="1:11" ht="13" x14ac:dyDescent="0.3">
      <c r="A58" s="37" t="s">
        <v>99</v>
      </c>
      <c r="B58" s="3"/>
      <c r="C58" s="3"/>
      <c r="D58" s="3"/>
      <c r="E58" s="3"/>
      <c r="F58" s="3"/>
      <c r="G58" s="3"/>
      <c r="H58" s="44"/>
      <c r="I58" s="4"/>
    </row>
    <row r="59" spans="1:11" ht="13" x14ac:dyDescent="0.3">
      <c r="A59" s="37" t="s">
        <v>100</v>
      </c>
      <c r="B59" s="3"/>
      <c r="C59" s="3"/>
      <c r="D59" s="3"/>
      <c r="E59" s="3"/>
      <c r="F59" s="3"/>
      <c r="G59" s="3"/>
      <c r="H59" s="44"/>
      <c r="I59" s="4"/>
    </row>
    <row r="60" spans="1:11" ht="13" x14ac:dyDescent="0.3">
      <c r="A60" s="37" t="s">
        <v>101</v>
      </c>
      <c r="B60" s="3"/>
      <c r="C60" s="3"/>
      <c r="D60" s="3"/>
      <c r="E60" s="3"/>
      <c r="F60" s="3"/>
      <c r="G60" s="3"/>
      <c r="H60" s="44"/>
      <c r="I60" s="4"/>
    </row>
    <row r="61" spans="1:11" ht="13" x14ac:dyDescent="0.3">
      <c r="A61" s="37" t="s">
        <v>102</v>
      </c>
      <c r="B61" s="10"/>
      <c r="C61" s="10"/>
      <c r="D61" s="10"/>
      <c r="E61" s="10"/>
      <c r="F61" s="10"/>
      <c r="G61" s="10"/>
      <c r="H61" s="10"/>
      <c r="I61" s="10"/>
    </row>
    <row r="62" spans="1:11" ht="13" x14ac:dyDescent="0.3">
      <c r="A62" s="37" t="s">
        <v>103</v>
      </c>
      <c r="B62" s="10"/>
      <c r="C62" s="10"/>
      <c r="D62" s="10"/>
      <c r="E62" s="10"/>
      <c r="F62" s="10"/>
      <c r="G62" s="10"/>
      <c r="H62" s="10"/>
      <c r="I62" s="10"/>
    </row>
    <row r="63" spans="1:11" ht="13" x14ac:dyDescent="0.3">
      <c r="A63" s="37"/>
      <c r="B63" s="10"/>
      <c r="C63" s="10"/>
      <c r="D63" s="10"/>
      <c r="E63" s="10"/>
      <c r="F63" s="10"/>
      <c r="G63" s="10"/>
      <c r="H63" s="10"/>
      <c r="I63" s="10"/>
    </row>
    <row r="64" spans="1:11" ht="13" x14ac:dyDescent="0.3">
      <c r="A64" s="37"/>
      <c r="B64" s="10"/>
      <c r="C64" s="10"/>
      <c r="D64" s="10"/>
      <c r="E64" s="10"/>
      <c r="F64" s="10"/>
      <c r="G64" s="10"/>
      <c r="H64" s="10"/>
      <c r="I64" s="10"/>
    </row>
    <row r="65" spans="1:12" ht="13" x14ac:dyDescent="0.3">
      <c r="A65" s="45"/>
      <c r="B65" s="45"/>
      <c r="C65" s="45"/>
      <c r="D65" s="45"/>
      <c r="E65" s="45"/>
      <c r="F65" s="45"/>
      <c r="G65" s="45"/>
      <c r="H65" s="45"/>
      <c r="I65" s="45"/>
    </row>
    <row r="66" spans="1:12" ht="13" x14ac:dyDescent="0.3">
      <c r="A66" s="49" t="s">
        <v>104</v>
      </c>
      <c r="B66" s="517" t="s">
        <v>105</v>
      </c>
      <c r="C66" s="518"/>
      <c r="D66" s="518"/>
      <c r="E66" s="518"/>
      <c r="F66" s="518"/>
      <c r="G66" s="519"/>
      <c r="H66" s="34" t="s">
        <v>76</v>
      </c>
      <c r="I66" s="34" t="s">
        <v>77</v>
      </c>
      <c r="K66" s="32"/>
      <c r="L66" s="31"/>
    </row>
    <row r="67" spans="1:12" ht="13" x14ac:dyDescent="0.3">
      <c r="A67" s="8" t="s">
        <v>40</v>
      </c>
      <c r="B67" s="478" t="s">
        <v>106</v>
      </c>
      <c r="C67" s="478"/>
      <c r="D67" s="478"/>
      <c r="E67" s="478"/>
      <c r="F67" s="478"/>
      <c r="G67" s="478"/>
      <c r="H67" s="1">
        <v>0.2</v>
      </c>
      <c r="I67" s="25">
        <f t="shared" ref="I67:I74" si="0">H67*($I$45)</f>
        <v>514.87400000000002</v>
      </c>
      <c r="K67" s="33"/>
      <c r="L67" s="31"/>
    </row>
    <row r="68" spans="1:12" ht="13" x14ac:dyDescent="0.3">
      <c r="A68" s="8" t="s">
        <v>42</v>
      </c>
      <c r="B68" s="478" t="s">
        <v>107</v>
      </c>
      <c r="C68" s="478"/>
      <c r="D68" s="478"/>
      <c r="E68" s="478"/>
      <c r="F68" s="478"/>
      <c r="G68" s="478"/>
      <c r="H68" s="1">
        <v>2.5000000000000001E-2</v>
      </c>
      <c r="I68" s="25">
        <f t="shared" si="0"/>
        <v>64.359250000000003</v>
      </c>
      <c r="K68" s="32"/>
    </row>
    <row r="69" spans="1:12" ht="13" x14ac:dyDescent="0.3">
      <c r="A69" s="8" t="s">
        <v>45</v>
      </c>
      <c r="B69" s="478" t="s">
        <v>108</v>
      </c>
      <c r="C69" s="478"/>
      <c r="D69" s="478"/>
      <c r="E69" s="478"/>
      <c r="F69" s="478"/>
      <c r="G69" s="478"/>
      <c r="H69" s="1">
        <v>0.03</v>
      </c>
      <c r="I69" s="25">
        <f t="shared" si="0"/>
        <v>77.231099999999998</v>
      </c>
      <c r="J69" s="32" t="s">
        <v>109</v>
      </c>
      <c r="K69" s="32"/>
    </row>
    <row r="70" spans="1:12" ht="13" x14ac:dyDescent="0.3">
      <c r="A70" s="8" t="s">
        <v>48</v>
      </c>
      <c r="B70" s="478" t="s">
        <v>110</v>
      </c>
      <c r="C70" s="478"/>
      <c r="D70" s="478"/>
      <c r="E70" s="478"/>
      <c r="F70" s="478"/>
      <c r="G70" s="478"/>
      <c r="H70" s="1">
        <v>1.4999999999999999E-2</v>
      </c>
      <c r="I70" s="25">
        <f t="shared" si="0"/>
        <v>38.615549999999999</v>
      </c>
    </row>
    <row r="71" spans="1:12" ht="13" x14ac:dyDescent="0.3">
      <c r="A71" s="8" t="s">
        <v>84</v>
      </c>
      <c r="B71" s="478" t="s">
        <v>111</v>
      </c>
      <c r="C71" s="478"/>
      <c r="D71" s="478"/>
      <c r="E71" s="478"/>
      <c r="F71" s="478"/>
      <c r="G71" s="478"/>
      <c r="H71" s="1">
        <v>0.01</v>
      </c>
      <c r="I71" s="25">
        <f t="shared" si="0"/>
        <v>25.7437</v>
      </c>
    </row>
    <row r="72" spans="1:12" ht="13" x14ac:dyDescent="0.3">
      <c r="A72" s="8" t="s">
        <v>86</v>
      </c>
      <c r="B72" s="478" t="s">
        <v>112</v>
      </c>
      <c r="C72" s="478"/>
      <c r="D72" s="478"/>
      <c r="E72" s="478"/>
      <c r="F72" s="478"/>
      <c r="G72" s="478"/>
      <c r="H72" s="1">
        <v>6.0000000000000001E-3</v>
      </c>
      <c r="I72" s="25">
        <f t="shared" si="0"/>
        <v>15.44622</v>
      </c>
    </row>
    <row r="73" spans="1:12" ht="13" x14ac:dyDescent="0.3">
      <c r="A73" s="8" t="s">
        <v>113</v>
      </c>
      <c r="B73" s="478" t="s">
        <v>114</v>
      </c>
      <c r="C73" s="478"/>
      <c r="D73" s="478"/>
      <c r="E73" s="478"/>
      <c r="F73" s="478"/>
      <c r="G73" s="478"/>
      <c r="H73" s="1">
        <v>2E-3</v>
      </c>
      <c r="I73" s="25">
        <f t="shared" si="0"/>
        <v>5.1487400000000001</v>
      </c>
    </row>
    <row r="74" spans="1:12" ht="13" x14ac:dyDescent="0.3">
      <c r="A74" s="8" t="s">
        <v>115</v>
      </c>
      <c r="B74" s="478" t="s">
        <v>116</v>
      </c>
      <c r="C74" s="478"/>
      <c r="D74" s="478"/>
      <c r="E74" s="478"/>
      <c r="F74" s="478"/>
      <c r="G74" s="478"/>
      <c r="H74" s="1">
        <v>0.08</v>
      </c>
      <c r="I74" s="25">
        <f t="shared" si="0"/>
        <v>205.9496</v>
      </c>
    </row>
    <row r="75" spans="1:12" ht="13" x14ac:dyDescent="0.3">
      <c r="A75" s="480" t="s">
        <v>11</v>
      </c>
      <c r="B75" s="480"/>
      <c r="C75" s="480"/>
      <c r="D75" s="480"/>
      <c r="E75" s="480"/>
      <c r="F75" s="480"/>
      <c r="G75" s="480"/>
      <c r="H75" s="42">
        <f>SUM(H67:H74)</f>
        <v>0.36800000000000005</v>
      </c>
      <c r="I75" s="43">
        <f>SUM(I67:I74)</f>
        <v>947.36815999999999</v>
      </c>
      <c r="K75" s="21"/>
    </row>
    <row r="76" spans="1:12" ht="13" x14ac:dyDescent="0.3">
      <c r="A76" s="3"/>
      <c r="B76" s="3"/>
      <c r="C76" s="3"/>
      <c r="D76" s="3"/>
      <c r="E76" s="3"/>
      <c r="F76" s="3"/>
      <c r="G76" s="3"/>
      <c r="H76" s="44"/>
      <c r="I76" s="4"/>
      <c r="K76" s="21"/>
    </row>
    <row r="77" spans="1:12" ht="13" x14ac:dyDescent="0.3">
      <c r="A77" s="37" t="s">
        <v>117</v>
      </c>
      <c r="B77" s="3"/>
      <c r="C77" s="3"/>
      <c r="D77" s="3"/>
      <c r="E77" s="3"/>
      <c r="F77" s="3"/>
      <c r="G77" s="3"/>
      <c r="H77" s="44"/>
      <c r="I77" s="4"/>
      <c r="K77" s="21"/>
    </row>
    <row r="78" spans="1:12" ht="13" x14ac:dyDescent="0.3">
      <c r="A78" s="37" t="s">
        <v>118</v>
      </c>
      <c r="B78" s="3"/>
      <c r="C78" s="3"/>
      <c r="D78" s="3"/>
      <c r="E78" s="3"/>
      <c r="F78" s="3"/>
      <c r="G78" s="3"/>
      <c r="H78" s="44"/>
      <c r="I78" s="4"/>
      <c r="K78" s="21"/>
    </row>
    <row r="79" spans="1:12" ht="13" x14ac:dyDescent="0.3">
      <c r="A79" s="37" t="s">
        <v>119</v>
      </c>
      <c r="B79" s="3"/>
      <c r="C79" s="3"/>
      <c r="D79" s="3"/>
      <c r="E79" s="3"/>
      <c r="F79" s="3"/>
      <c r="G79" s="3"/>
      <c r="H79" s="44"/>
      <c r="I79" s="4"/>
      <c r="K79" s="21"/>
    </row>
    <row r="80" spans="1:12" ht="13" x14ac:dyDescent="0.3">
      <c r="A80" s="37" t="s">
        <v>120</v>
      </c>
      <c r="B80" s="3"/>
      <c r="C80" s="3"/>
      <c r="D80" s="3"/>
      <c r="E80" s="3"/>
      <c r="F80" s="3"/>
      <c r="G80" s="3"/>
      <c r="H80" s="44"/>
      <c r="I80" s="4"/>
      <c r="K80" s="21"/>
    </row>
    <row r="81" spans="1:11" ht="13" x14ac:dyDescent="0.3">
      <c r="A81" s="37" t="s">
        <v>121</v>
      </c>
      <c r="B81" s="3"/>
      <c r="C81" s="3"/>
      <c r="D81" s="3"/>
      <c r="E81" s="3"/>
      <c r="F81" s="3"/>
      <c r="G81" s="3"/>
      <c r="H81" s="44"/>
      <c r="I81" s="4"/>
      <c r="K81" s="21"/>
    </row>
    <row r="82" spans="1:11" ht="13" x14ac:dyDescent="0.3">
      <c r="A82" s="10"/>
      <c r="B82" s="10"/>
      <c r="C82" s="10"/>
      <c r="D82" s="10"/>
      <c r="E82" s="10"/>
      <c r="F82" s="10"/>
      <c r="G82" s="10"/>
      <c r="H82" s="10"/>
      <c r="I82" s="10"/>
    </row>
    <row r="83" spans="1:11" ht="13" x14ac:dyDescent="0.3">
      <c r="A83" s="49" t="s">
        <v>122</v>
      </c>
      <c r="B83" s="495" t="s">
        <v>123</v>
      </c>
      <c r="C83" s="496"/>
      <c r="D83" s="496"/>
      <c r="E83" s="496"/>
      <c r="F83" s="496"/>
      <c r="G83" s="497"/>
      <c r="H83" s="42"/>
      <c r="I83" s="34" t="s">
        <v>77</v>
      </c>
    </row>
    <row r="84" spans="1:11" ht="13" customHeight="1" x14ac:dyDescent="0.3">
      <c r="A84" s="8" t="s">
        <v>40</v>
      </c>
      <c r="B84" s="486" t="s">
        <v>124</v>
      </c>
      <c r="C84" s="486"/>
      <c r="D84" s="486"/>
      <c r="E84" s="486"/>
      <c r="F84" s="486"/>
      <c r="G84" s="486"/>
      <c r="H84" s="23" t="s">
        <v>125</v>
      </c>
      <c r="I84" s="27">
        <f>'Mód2.3 '!L12</f>
        <v>87.537800000000004</v>
      </c>
    </row>
    <row r="85" spans="1:11" ht="13" customHeight="1" x14ac:dyDescent="0.3">
      <c r="A85" s="8" t="s">
        <v>42</v>
      </c>
      <c r="B85" s="486" t="s">
        <v>126</v>
      </c>
      <c r="C85" s="486"/>
      <c r="D85" s="486"/>
      <c r="E85" s="486"/>
      <c r="F85" s="486"/>
      <c r="G85" s="486"/>
      <c r="H85" s="23" t="s">
        <v>125</v>
      </c>
      <c r="I85" s="27">
        <f>'Mód2.3 '!E25</f>
        <v>974.59999999999991</v>
      </c>
    </row>
    <row r="86" spans="1:11" ht="13" customHeight="1" x14ac:dyDescent="0.3">
      <c r="A86" s="8" t="s">
        <v>45</v>
      </c>
      <c r="B86" s="486" t="s">
        <v>127</v>
      </c>
      <c r="C86" s="486"/>
      <c r="D86" s="486"/>
      <c r="E86" s="486"/>
      <c r="F86" s="486"/>
      <c r="G86" s="486"/>
      <c r="H86" s="23" t="s">
        <v>125</v>
      </c>
      <c r="I86" s="27">
        <f>'Mód2.3 '!E33</f>
        <v>0</v>
      </c>
    </row>
    <row r="87" spans="1:11" ht="15" customHeight="1" x14ac:dyDescent="0.3">
      <c r="A87" s="47" t="s">
        <v>48</v>
      </c>
      <c r="B87" s="551" t="s">
        <v>128</v>
      </c>
      <c r="C87" s="486"/>
      <c r="D87" s="486"/>
      <c r="E87" s="486"/>
      <c r="F87" s="486"/>
      <c r="G87" s="486"/>
      <c r="H87" s="36" t="s">
        <v>125</v>
      </c>
      <c r="I87" s="166">
        <f>'Mód2.3 '!E42</f>
        <v>13.64</v>
      </c>
    </row>
    <row r="88" spans="1:11" ht="13" customHeight="1" x14ac:dyDescent="0.3">
      <c r="A88" s="8" t="s">
        <v>84</v>
      </c>
      <c r="B88" s="486" t="s">
        <v>130</v>
      </c>
      <c r="C88" s="486"/>
      <c r="D88" s="486"/>
      <c r="E88" s="486"/>
      <c r="F88" s="486"/>
      <c r="G88" s="486"/>
      <c r="H88" s="23" t="s">
        <v>125</v>
      </c>
      <c r="I88" s="27">
        <f>'Mód2.3 '!E52</f>
        <v>3.61</v>
      </c>
    </row>
    <row r="89" spans="1:11" ht="13" x14ac:dyDescent="0.3">
      <c r="A89" s="8"/>
      <c r="B89" s="486"/>
      <c r="C89" s="486"/>
      <c r="D89" s="486"/>
      <c r="E89" s="486"/>
      <c r="F89" s="486"/>
      <c r="G89" s="486"/>
      <c r="H89" s="23"/>
      <c r="I89" s="27"/>
    </row>
    <row r="90" spans="1:11" ht="13" x14ac:dyDescent="0.3">
      <c r="A90" s="480" t="s">
        <v>132</v>
      </c>
      <c r="B90" s="480"/>
      <c r="C90" s="480"/>
      <c r="D90" s="480"/>
      <c r="E90" s="480"/>
      <c r="F90" s="480"/>
      <c r="G90" s="480"/>
      <c r="H90" s="480"/>
      <c r="I90" s="43">
        <f>SUM(I84:I89)</f>
        <v>1079.3878</v>
      </c>
    </row>
    <row r="91" spans="1:11" ht="13" x14ac:dyDescent="0.3">
      <c r="A91" s="3"/>
      <c r="B91" s="3"/>
      <c r="C91" s="3"/>
      <c r="D91" s="3"/>
      <c r="E91" s="3"/>
      <c r="F91" s="3"/>
      <c r="G91" s="3"/>
      <c r="H91" s="3"/>
      <c r="I91" s="4"/>
    </row>
    <row r="92" spans="1:11" ht="13" x14ac:dyDescent="0.3">
      <c r="A92" s="37" t="s">
        <v>133</v>
      </c>
      <c r="B92" s="3"/>
      <c r="C92" s="3"/>
      <c r="D92" s="3"/>
      <c r="E92" s="3"/>
      <c r="F92" s="3"/>
      <c r="G92" s="3"/>
      <c r="H92" s="3"/>
      <c r="I92" s="4"/>
    </row>
    <row r="93" spans="1:11" ht="13" x14ac:dyDescent="0.3">
      <c r="A93" s="37" t="s">
        <v>134</v>
      </c>
      <c r="B93" s="3"/>
      <c r="C93" s="3"/>
      <c r="D93" s="3"/>
      <c r="E93" s="3"/>
      <c r="F93" s="3"/>
      <c r="G93" s="3"/>
      <c r="H93" s="3"/>
      <c r="I93" s="4"/>
    </row>
    <row r="94" spans="1:11" ht="13" x14ac:dyDescent="0.3">
      <c r="A94" s="37" t="s">
        <v>135</v>
      </c>
      <c r="B94" s="3"/>
      <c r="C94" s="3"/>
      <c r="D94" s="3"/>
      <c r="E94" s="3"/>
      <c r="F94" s="3"/>
      <c r="G94" s="3"/>
      <c r="H94" s="3"/>
      <c r="I94" s="4"/>
    </row>
    <row r="95" spans="1:11" ht="13" x14ac:dyDescent="0.3">
      <c r="A95" s="37" t="s">
        <v>136</v>
      </c>
      <c r="B95" s="3"/>
      <c r="C95" s="3"/>
      <c r="D95" s="3"/>
      <c r="E95" s="3"/>
      <c r="F95" s="3"/>
      <c r="G95" s="3"/>
      <c r="H95" s="3"/>
      <c r="I95" s="4"/>
    </row>
    <row r="96" spans="1:11" ht="13" x14ac:dyDescent="0.3">
      <c r="A96" s="10"/>
      <c r="B96" s="10"/>
      <c r="C96" s="10"/>
      <c r="D96" s="10"/>
      <c r="E96" s="10"/>
      <c r="F96" s="10"/>
      <c r="G96" s="10"/>
      <c r="H96" s="10"/>
      <c r="I96" s="10"/>
    </row>
    <row r="97" spans="1:11" ht="13" x14ac:dyDescent="0.3">
      <c r="A97" s="49">
        <v>2</v>
      </c>
      <c r="B97" s="48" t="s">
        <v>137</v>
      </c>
      <c r="C97" s="48"/>
      <c r="D97" s="48"/>
      <c r="E97" s="48"/>
      <c r="F97" s="48"/>
      <c r="G97" s="48"/>
      <c r="H97" s="48"/>
      <c r="I97" s="48"/>
    </row>
    <row r="98" spans="1:11" ht="13" x14ac:dyDescent="0.3">
      <c r="A98" s="477" t="s">
        <v>138</v>
      </c>
      <c r="B98" s="477"/>
      <c r="C98" s="477"/>
      <c r="D98" s="477"/>
      <c r="E98" s="477"/>
      <c r="F98" s="477"/>
      <c r="G98" s="477"/>
      <c r="H98" s="477"/>
      <c r="I98" s="8" t="s">
        <v>77</v>
      </c>
    </row>
    <row r="99" spans="1:11" ht="13" x14ac:dyDescent="0.3">
      <c r="A99" s="8" t="s">
        <v>92</v>
      </c>
      <c r="B99" s="514" t="s">
        <v>139</v>
      </c>
      <c r="C99" s="514"/>
      <c r="D99" s="514"/>
      <c r="E99" s="514"/>
      <c r="F99" s="514"/>
      <c r="G99" s="514"/>
      <c r="H99" s="514"/>
      <c r="I99" s="25">
        <f>I56</f>
        <v>719.57691842133329</v>
      </c>
    </row>
    <row r="100" spans="1:11" ht="13" x14ac:dyDescent="0.3">
      <c r="A100" s="8" t="s">
        <v>104</v>
      </c>
      <c r="B100" s="514" t="s">
        <v>140</v>
      </c>
      <c r="C100" s="514"/>
      <c r="D100" s="514"/>
      <c r="E100" s="514"/>
      <c r="F100" s="514"/>
      <c r="G100" s="514"/>
      <c r="H100" s="514"/>
      <c r="I100" s="25">
        <f>I75</f>
        <v>947.36815999999999</v>
      </c>
    </row>
    <row r="101" spans="1:11" ht="13" x14ac:dyDescent="0.3">
      <c r="A101" s="8" t="s">
        <v>122</v>
      </c>
      <c r="B101" s="514" t="s">
        <v>141</v>
      </c>
      <c r="C101" s="514"/>
      <c r="D101" s="514"/>
      <c r="E101" s="514"/>
      <c r="F101" s="514"/>
      <c r="G101" s="514"/>
      <c r="H101" s="514"/>
      <c r="I101" s="25">
        <f>I90</f>
        <v>1079.3878</v>
      </c>
    </row>
    <row r="102" spans="1:11" ht="13" x14ac:dyDescent="0.3">
      <c r="A102" s="485" t="s">
        <v>142</v>
      </c>
      <c r="B102" s="485"/>
      <c r="C102" s="485"/>
      <c r="D102" s="485"/>
      <c r="E102" s="485"/>
      <c r="F102" s="485"/>
      <c r="G102" s="485"/>
      <c r="H102" s="485"/>
      <c r="I102" s="128">
        <f>SUM(I99:I101)</f>
        <v>2746.3328784213331</v>
      </c>
      <c r="K102" s="7"/>
    </row>
    <row r="103" spans="1:11" ht="13" x14ac:dyDescent="0.3">
      <c r="A103" s="493"/>
      <c r="B103" s="494"/>
      <c r="C103" s="494"/>
      <c r="D103" s="494"/>
      <c r="E103" s="494"/>
      <c r="F103" s="494"/>
      <c r="G103" s="494"/>
      <c r="H103" s="494"/>
      <c r="I103" s="494"/>
    </row>
    <row r="104" spans="1:11" ht="13" x14ac:dyDescent="0.3">
      <c r="A104" s="492" t="s">
        <v>143</v>
      </c>
      <c r="B104" s="492"/>
      <c r="C104" s="492"/>
      <c r="D104" s="492"/>
      <c r="E104" s="492"/>
      <c r="F104" s="492"/>
      <c r="G104" s="492"/>
      <c r="H104" s="492"/>
      <c r="I104" s="492"/>
    </row>
    <row r="105" spans="1:11" ht="13" x14ac:dyDescent="0.3">
      <c r="A105" s="8">
        <v>3</v>
      </c>
      <c r="B105" s="477" t="s">
        <v>144</v>
      </c>
      <c r="C105" s="477"/>
      <c r="D105" s="477"/>
      <c r="E105" s="477"/>
      <c r="F105" s="477"/>
      <c r="G105" s="477"/>
      <c r="H105" s="8" t="s">
        <v>76</v>
      </c>
      <c r="I105" s="8" t="s">
        <v>77</v>
      </c>
    </row>
    <row r="106" spans="1:11" ht="13" x14ac:dyDescent="0.3">
      <c r="A106" s="8" t="s">
        <v>40</v>
      </c>
      <c r="B106" s="478" t="s">
        <v>145</v>
      </c>
      <c r="C106" s="478"/>
      <c r="D106" s="478"/>
      <c r="E106" s="478"/>
      <c r="F106" s="478"/>
      <c r="G106" s="478"/>
      <c r="H106" s="1">
        <v>4.1999999999999997E-3</v>
      </c>
      <c r="I106" s="25">
        <f>H106*I45</f>
        <v>10.812353999999999</v>
      </c>
    </row>
    <row r="107" spans="1:11" ht="13" x14ac:dyDescent="0.25">
      <c r="A107" s="47" t="s">
        <v>42</v>
      </c>
      <c r="B107" s="481" t="s">
        <v>146</v>
      </c>
      <c r="C107" s="481"/>
      <c r="D107" s="481"/>
      <c r="E107" s="481"/>
      <c r="F107" s="481"/>
      <c r="G107" s="481"/>
      <c r="H107" s="160">
        <f>H74</f>
        <v>0.08</v>
      </c>
      <c r="I107" s="161">
        <f>I106*H107</f>
        <v>0.86498831999999992</v>
      </c>
    </row>
    <row r="108" spans="1:11" ht="24.75" customHeight="1" x14ac:dyDescent="0.25">
      <c r="A108" s="47" t="s">
        <v>45</v>
      </c>
      <c r="B108" s="481" t="s">
        <v>147</v>
      </c>
      <c r="C108" s="481"/>
      <c r="D108" s="481"/>
      <c r="E108" s="481"/>
      <c r="F108" s="481"/>
      <c r="G108" s="481"/>
      <c r="H108" s="160">
        <v>2E-3</v>
      </c>
      <c r="I108" s="161">
        <f>H108*I45</f>
        <v>5.1487400000000001</v>
      </c>
    </row>
    <row r="109" spans="1:11" ht="13" x14ac:dyDescent="0.3">
      <c r="A109" s="8" t="s">
        <v>48</v>
      </c>
      <c r="B109" s="478" t="s">
        <v>148</v>
      </c>
      <c r="C109" s="478"/>
      <c r="D109" s="478"/>
      <c r="E109" s="478"/>
      <c r="F109" s="478"/>
      <c r="G109" s="478"/>
      <c r="H109" s="1">
        <v>1.9400000000000001E-2</v>
      </c>
      <c r="I109" s="25">
        <f>H109*I45</f>
        <v>49.942777999999997</v>
      </c>
    </row>
    <row r="110" spans="1:11" ht="13" x14ac:dyDescent="0.3">
      <c r="A110" s="8" t="s">
        <v>84</v>
      </c>
      <c r="B110" s="511" t="s">
        <v>149</v>
      </c>
      <c r="C110" s="511"/>
      <c r="D110" s="511"/>
      <c r="E110" s="511"/>
      <c r="F110" s="511"/>
      <c r="G110" s="511"/>
      <c r="H110" s="24">
        <f>H75</f>
        <v>0.36800000000000005</v>
      </c>
      <c r="I110" s="25">
        <f>I109*H110</f>
        <v>18.378942304000002</v>
      </c>
    </row>
    <row r="111" spans="1:11" ht="25.5" customHeight="1" x14ac:dyDescent="0.25">
      <c r="A111" s="47" t="s">
        <v>86</v>
      </c>
      <c r="B111" s="481" t="s">
        <v>150</v>
      </c>
      <c r="C111" s="481"/>
      <c r="D111" s="481"/>
      <c r="E111" s="481"/>
      <c r="F111" s="481"/>
      <c r="G111" s="481"/>
      <c r="H111" s="160">
        <v>3.7999999999999999E-2</v>
      </c>
      <c r="I111" s="161">
        <f>H111*I45</f>
        <v>97.826059999999998</v>
      </c>
      <c r="K111" s="7"/>
    </row>
    <row r="112" spans="1:11" ht="13" x14ac:dyDescent="0.3">
      <c r="A112" s="485" t="s">
        <v>151</v>
      </c>
      <c r="B112" s="485"/>
      <c r="C112" s="485"/>
      <c r="D112" s="485"/>
      <c r="E112" s="485"/>
      <c r="F112" s="485"/>
      <c r="G112" s="485"/>
      <c r="H112" s="42"/>
      <c r="I112" s="128">
        <f>SUM(I106:I111)</f>
        <v>182.97386262399999</v>
      </c>
    </row>
    <row r="113" spans="1:11" ht="13" x14ac:dyDescent="0.3">
      <c r="A113" s="563"/>
      <c r="B113" s="513"/>
      <c r="C113" s="513"/>
      <c r="D113" s="513"/>
      <c r="E113" s="513"/>
      <c r="F113" s="513"/>
      <c r="G113" s="513"/>
      <c r="H113" s="513"/>
      <c r="I113" s="513"/>
    </row>
    <row r="114" spans="1:11" ht="13" x14ac:dyDescent="0.3">
      <c r="A114" s="492" t="s">
        <v>152</v>
      </c>
      <c r="B114" s="492"/>
      <c r="C114" s="492"/>
      <c r="D114" s="492"/>
      <c r="E114" s="492"/>
      <c r="F114" s="492"/>
      <c r="G114" s="492"/>
      <c r="H114" s="492"/>
      <c r="I114" s="492"/>
    </row>
    <row r="115" spans="1:11" ht="13" x14ac:dyDescent="0.3">
      <c r="A115" s="3"/>
      <c r="B115" s="3"/>
      <c r="C115" s="3"/>
      <c r="D115" s="3"/>
      <c r="E115" s="3"/>
      <c r="F115" s="3"/>
      <c r="G115" s="3"/>
      <c r="H115" s="3"/>
      <c r="I115" s="3"/>
    </row>
    <row r="116" spans="1:11" ht="13" x14ac:dyDescent="0.3">
      <c r="A116" s="37" t="s">
        <v>153</v>
      </c>
      <c r="B116" s="3"/>
      <c r="C116" s="3"/>
      <c r="D116" s="3"/>
      <c r="E116" s="3"/>
      <c r="F116" s="3"/>
      <c r="G116" s="3"/>
      <c r="H116" s="3"/>
      <c r="I116" s="3"/>
    </row>
    <row r="117" spans="1:11" ht="13" x14ac:dyDescent="0.3">
      <c r="A117" s="37" t="s">
        <v>154</v>
      </c>
      <c r="B117" s="3"/>
      <c r="C117" s="3"/>
      <c r="D117" s="3"/>
      <c r="E117" s="3"/>
      <c r="F117" s="3"/>
      <c r="G117" s="3"/>
      <c r="H117" s="3"/>
      <c r="I117" s="3"/>
    </row>
    <row r="118" spans="1:11" ht="13" x14ac:dyDescent="0.3">
      <c r="A118" s="3"/>
      <c r="B118" s="3"/>
      <c r="C118" s="3"/>
      <c r="D118" s="3"/>
      <c r="E118" s="3"/>
      <c r="F118" s="3"/>
      <c r="G118" s="3"/>
      <c r="H118" s="3"/>
      <c r="I118" s="3"/>
    </row>
    <row r="119" spans="1:11" ht="13" x14ac:dyDescent="0.3">
      <c r="A119" s="49" t="s">
        <v>155</v>
      </c>
      <c r="B119" s="480" t="s">
        <v>156</v>
      </c>
      <c r="C119" s="480"/>
      <c r="D119" s="480"/>
      <c r="E119" s="480"/>
      <c r="F119" s="480"/>
      <c r="G119" s="480"/>
      <c r="H119" s="34" t="s">
        <v>76</v>
      </c>
      <c r="I119" s="34" t="s">
        <v>77</v>
      </c>
    </row>
    <row r="120" spans="1:11" ht="13" x14ac:dyDescent="0.3">
      <c r="A120" s="49" t="s">
        <v>40</v>
      </c>
      <c r="B120" s="478" t="s">
        <v>157</v>
      </c>
      <c r="C120" s="478"/>
      <c r="D120" s="478"/>
      <c r="E120" s="478"/>
      <c r="F120" s="478"/>
      <c r="G120" s="478"/>
      <c r="H120" s="43"/>
      <c r="I120" s="43"/>
    </row>
    <row r="121" spans="1:11" ht="13" x14ac:dyDescent="0.3">
      <c r="A121" s="8" t="s">
        <v>42</v>
      </c>
      <c r="B121" s="478" t="s">
        <v>158</v>
      </c>
      <c r="C121" s="478"/>
      <c r="D121" s="478"/>
      <c r="E121" s="478"/>
      <c r="F121" s="478"/>
      <c r="G121" s="478"/>
      <c r="H121" s="172">
        <v>1.67E-2</v>
      </c>
      <c r="I121" s="25">
        <f>H121*$I$45</f>
        <v>42.991979000000001</v>
      </c>
      <c r="J121" s="32" t="s">
        <v>159</v>
      </c>
      <c r="K121" s="163"/>
    </row>
    <row r="122" spans="1:11" ht="13" x14ac:dyDescent="0.3">
      <c r="A122" s="8" t="s">
        <v>45</v>
      </c>
      <c r="B122" s="478" t="s">
        <v>160</v>
      </c>
      <c r="C122" s="478"/>
      <c r="D122" s="478"/>
      <c r="E122" s="478"/>
      <c r="F122" s="478"/>
      <c r="G122" s="478"/>
      <c r="H122" s="172">
        <v>2.0000000000000001E-4</v>
      </c>
      <c r="I122" s="25">
        <f>H122*$I$45</f>
        <v>0.51487400000000005</v>
      </c>
      <c r="J122" s="32" t="s">
        <v>159</v>
      </c>
      <c r="K122" s="163"/>
    </row>
    <row r="123" spans="1:11" ht="13.5" x14ac:dyDescent="0.25">
      <c r="A123" s="47" t="s">
        <v>48</v>
      </c>
      <c r="B123" s="481" t="s">
        <v>161</v>
      </c>
      <c r="C123" s="481"/>
      <c r="D123" s="481"/>
      <c r="E123" s="481"/>
      <c r="F123" s="481"/>
      <c r="G123" s="481"/>
      <c r="H123" s="160">
        <v>6.9999999999999999E-4</v>
      </c>
      <c r="I123" s="161">
        <f>H123*$I$45</f>
        <v>1.8020589999999999</v>
      </c>
      <c r="J123" s="32" t="s">
        <v>159</v>
      </c>
    </row>
    <row r="124" spans="1:11" ht="13" x14ac:dyDescent="0.3">
      <c r="A124" s="8" t="s">
        <v>84</v>
      </c>
      <c r="B124" s="478" t="s">
        <v>162</v>
      </c>
      <c r="C124" s="478"/>
      <c r="D124" s="478"/>
      <c r="E124" s="478"/>
      <c r="F124" s="478"/>
      <c r="G124" s="478"/>
      <c r="H124" s="172">
        <v>2.8999999999999998E-3</v>
      </c>
      <c r="I124" s="25">
        <f>H124*$I$45</f>
        <v>7.4656729999999989</v>
      </c>
      <c r="J124" s="32" t="s">
        <v>159</v>
      </c>
    </row>
    <row r="125" spans="1:11" ht="13" x14ac:dyDescent="0.3">
      <c r="A125" s="8" t="s">
        <v>86</v>
      </c>
      <c r="B125" s="478" t="s">
        <v>163</v>
      </c>
      <c r="C125" s="478"/>
      <c r="D125" s="478"/>
      <c r="E125" s="478"/>
      <c r="F125" s="478"/>
      <c r="G125" s="478"/>
      <c r="H125" s="172"/>
      <c r="I125" s="25">
        <f t="shared" ref="I125" si="1">H125*$I$45</f>
        <v>0</v>
      </c>
      <c r="J125" s="32" t="s">
        <v>159</v>
      </c>
    </row>
    <row r="126" spans="1:11" ht="13" x14ac:dyDescent="0.3">
      <c r="A126" s="480" t="s">
        <v>164</v>
      </c>
      <c r="B126" s="480"/>
      <c r="C126" s="480"/>
      <c r="D126" s="480"/>
      <c r="E126" s="480"/>
      <c r="F126" s="480"/>
      <c r="G126" s="480"/>
      <c r="H126" s="42"/>
      <c r="I126" s="43">
        <f>SUM(I121:I125)</f>
        <v>52.774585000000002</v>
      </c>
      <c r="J126" s="32"/>
    </row>
    <row r="127" spans="1:11" ht="13" x14ac:dyDescent="0.3">
      <c r="A127" s="8" t="s">
        <v>86</v>
      </c>
      <c r="B127" s="478" t="s">
        <v>165</v>
      </c>
      <c r="C127" s="478"/>
      <c r="D127" s="478"/>
      <c r="E127" s="478"/>
      <c r="F127" s="478"/>
      <c r="G127" s="478"/>
      <c r="H127" s="1">
        <f>H75</f>
        <v>0.36800000000000005</v>
      </c>
      <c r="I127" s="25">
        <f>I126*H127</f>
        <v>19.421047280000003</v>
      </c>
    </row>
    <row r="128" spans="1:11" ht="13" x14ac:dyDescent="0.3">
      <c r="A128" s="480" t="s">
        <v>166</v>
      </c>
      <c r="B128" s="480"/>
      <c r="C128" s="480"/>
      <c r="D128" s="480"/>
      <c r="E128" s="480"/>
      <c r="F128" s="480"/>
      <c r="G128" s="480"/>
      <c r="H128" s="42"/>
      <c r="I128" s="43">
        <f>SUM(I126:I127)</f>
        <v>72.195632280000012</v>
      </c>
    </row>
    <row r="129" spans="1:11" ht="13" x14ac:dyDescent="0.3">
      <c r="A129" s="3"/>
      <c r="B129" s="3"/>
      <c r="C129" s="3"/>
      <c r="D129" s="3"/>
      <c r="E129" s="3"/>
      <c r="F129" s="3"/>
      <c r="G129" s="3"/>
      <c r="H129" s="3"/>
      <c r="I129" s="3"/>
    </row>
    <row r="130" spans="1:11" ht="13" x14ac:dyDescent="0.3">
      <c r="A130" s="49" t="s">
        <v>167</v>
      </c>
      <c r="B130" s="495" t="s">
        <v>168</v>
      </c>
      <c r="C130" s="496"/>
      <c r="D130" s="496"/>
      <c r="E130" s="496"/>
      <c r="F130" s="496"/>
      <c r="G130" s="497"/>
      <c r="H130" s="34" t="s">
        <v>76</v>
      </c>
      <c r="I130" s="34" t="s">
        <v>77</v>
      </c>
    </row>
    <row r="131" spans="1:11" ht="13" x14ac:dyDescent="0.3">
      <c r="A131" s="8" t="s">
        <v>40</v>
      </c>
      <c r="B131" s="498" t="s">
        <v>169</v>
      </c>
      <c r="C131" s="499"/>
      <c r="D131" s="499"/>
      <c r="E131" s="499"/>
      <c r="F131" s="499"/>
      <c r="G131" s="500"/>
      <c r="H131" s="172">
        <v>0</v>
      </c>
      <c r="I131" s="25">
        <v>0</v>
      </c>
    </row>
    <row r="132" spans="1:11" ht="13" x14ac:dyDescent="0.3">
      <c r="A132" s="495" t="s">
        <v>170</v>
      </c>
      <c r="B132" s="496"/>
      <c r="C132" s="496"/>
      <c r="D132" s="496"/>
      <c r="E132" s="496"/>
      <c r="F132" s="496"/>
      <c r="G132" s="497"/>
      <c r="H132" s="42">
        <f>TRUNC(SUM(H131),4)</f>
        <v>0</v>
      </c>
      <c r="I132" s="43">
        <f>SUM(I131)</f>
        <v>0</v>
      </c>
    </row>
    <row r="133" spans="1:11" ht="13" x14ac:dyDescent="0.3">
      <c r="A133" s="51"/>
      <c r="B133" s="45"/>
      <c r="C133" s="45"/>
      <c r="D133" s="45"/>
      <c r="E133" s="45"/>
      <c r="F133" s="45"/>
      <c r="G133" s="45"/>
      <c r="H133" s="45"/>
      <c r="I133" s="45"/>
    </row>
    <row r="134" spans="1:11" ht="13" x14ac:dyDescent="0.3">
      <c r="A134" s="480" t="s">
        <v>171</v>
      </c>
      <c r="B134" s="480"/>
      <c r="C134" s="480"/>
      <c r="D134" s="480"/>
      <c r="E134" s="480"/>
      <c r="F134" s="480"/>
      <c r="G134" s="480"/>
      <c r="H134" s="480"/>
      <c r="I134" s="480"/>
    </row>
    <row r="135" spans="1:11" ht="13" x14ac:dyDescent="0.3">
      <c r="A135" s="47">
        <v>4</v>
      </c>
      <c r="B135" s="502" t="s">
        <v>172</v>
      </c>
      <c r="C135" s="503"/>
      <c r="D135" s="503"/>
      <c r="E135" s="503"/>
      <c r="F135" s="503"/>
      <c r="G135" s="504"/>
      <c r="H135" s="46"/>
      <c r="I135" s="8" t="s">
        <v>77</v>
      </c>
    </row>
    <row r="136" spans="1:11" ht="13" x14ac:dyDescent="0.3">
      <c r="A136" s="8" t="s">
        <v>155</v>
      </c>
      <c r="B136" s="505" t="s">
        <v>173</v>
      </c>
      <c r="C136" s="506"/>
      <c r="D136" s="506"/>
      <c r="E136" s="506"/>
      <c r="F136" s="506"/>
      <c r="G136" s="507"/>
      <c r="H136" s="22"/>
      <c r="I136" s="25">
        <f>I128</f>
        <v>72.195632280000012</v>
      </c>
    </row>
    <row r="137" spans="1:11" ht="13" x14ac:dyDescent="0.3">
      <c r="A137" s="8" t="s">
        <v>167</v>
      </c>
      <c r="B137" s="505" t="s">
        <v>174</v>
      </c>
      <c r="C137" s="506"/>
      <c r="D137" s="506"/>
      <c r="E137" s="506"/>
      <c r="F137" s="506"/>
      <c r="G137" s="507"/>
      <c r="H137" s="22"/>
      <c r="I137" s="25">
        <f>I132</f>
        <v>0</v>
      </c>
    </row>
    <row r="138" spans="1:11" ht="13" x14ac:dyDescent="0.3">
      <c r="A138" s="485" t="s">
        <v>175</v>
      </c>
      <c r="B138" s="485"/>
      <c r="C138" s="485"/>
      <c r="D138" s="485"/>
      <c r="E138" s="485"/>
      <c r="F138" s="485"/>
      <c r="G138" s="485"/>
      <c r="H138" s="485"/>
      <c r="I138" s="128">
        <f>SUM(I136:I137)</f>
        <v>72.195632280000012</v>
      </c>
    </row>
    <row r="139" spans="1:11" ht="13" x14ac:dyDescent="0.3">
      <c r="A139" s="493"/>
      <c r="B139" s="494"/>
      <c r="C139" s="494"/>
      <c r="D139" s="494"/>
      <c r="E139" s="494"/>
      <c r="F139" s="494"/>
      <c r="G139" s="494"/>
      <c r="H139" s="494"/>
      <c r="I139" s="494"/>
    </row>
    <row r="140" spans="1:11" ht="13" x14ac:dyDescent="0.3">
      <c r="A140" s="492" t="s">
        <v>176</v>
      </c>
      <c r="B140" s="492"/>
      <c r="C140" s="492"/>
      <c r="D140" s="492"/>
      <c r="E140" s="492"/>
      <c r="F140" s="492"/>
      <c r="G140" s="492"/>
      <c r="H140" s="492"/>
      <c r="I140" s="492"/>
    </row>
    <row r="141" spans="1:11" ht="13" x14ac:dyDescent="0.3">
      <c r="A141" s="8">
        <v>5</v>
      </c>
      <c r="B141" s="477" t="s">
        <v>177</v>
      </c>
      <c r="C141" s="477"/>
      <c r="D141" s="477"/>
      <c r="E141" s="477"/>
      <c r="F141" s="477"/>
      <c r="G141" s="477"/>
      <c r="H141" s="8"/>
      <c r="I141" s="8" t="s">
        <v>77</v>
      </c>
    </row>
    <row r="142" spans="1:11" ht="13" x14ac:dyDescent="0.3">
      <c r="A142" s="8" t="s">
        <v>40</v>
      </c>
      <c r="B142" s="486" t="s">
        <v>178</v>
      </c>
      <c r="C142" s="486"/>
      <c r="D142" s="486"/>
      <c r="E142" s="486"/>
      <c r="F142" s="486"/>
      <c r="G142" s="486"/>
      <c r="H142" s="23" t="s">
        <v>125</v>
      </c>
      <c r="I142" s="25">
        <f>'Uniform&amp;EPIs '!K25</f>
        <v>163.85291666666669</v>
      </c>
    </row>
    <row r="143" spans="1:11" ht="25" x14ac:dyDescent="0.3">
      <c r="A143" s="8" t="s">
        <v>42</v>
      </c>
      <c r="B143" s="486" t="s">
        <v>179</v>
      </c>
      <c r="C143" s="486"/>
      <c r="D143" s="486"/>
      <c r="E143" s="486"/>
      <c r="F143" s="486"/>
      <c r="G143" s="486"/>
      <c r="H143" s="23" t="s">
        <v>125</v>
      </c>
      <c r="I143" s="25">
        <v>0</v>
      </c>
      <c r="K143" s="306" t="s">
        <v>231</v>
      </c>
    </row>
    <row r="144" spans="1:11" ht="25" x14ac:dyDescent="0.3">
      <c r="A144" s="28" t="s">
        <v>45</v>
      </c>
      <c r="B144" s="486" t="s">
        <v>180</v>
      </c>
      <c r="C144" s="486"/>
      <c r="D144" s="486"/>
      <c r="E144" s="486"/>
      <c r="F144" s="486"/>
      <c r="G144" s="486"/>
      <c r="H144" s="23" t="s">
        <v>125</v>
      </c>
      <c r="I144" s="25">
        <v>0</v>
      </c>
      <c r="K144" s="306" t="s">
        <v>231</v>
      </c>
    </row>
    <row r="145" spans="1:13" ht="13" x14ac:dyDescent="0.3">
      <c r="A145" s="28" t="s">
        <v>48</v>
      </c>
      <c r="B145" s="486" t="s">
        <v>87</v>
      </c>
      <c r="C145" s="486"/>
      <c r="D145" s="486"/>
      <c r="E145" s="486"/>
      <c r="F145" s="486"/>
      <c r="G145" s="486"/>
      <c r="H145" s="23" t="s">
        <v>125</v>
      </c>
      <c r="I145" s="25">
        <v>0</v>
      </c>
    </row>
    <row r="146" spans="1:13" ht="13" x14ac:dyDescent="0.3">
      <c r="A146" s="485" t="s">
        <v>181</v>
      </c>
      <c r="B146" s="485"/>
      <c r="C146" s="485"/>
      <c r="D146" s="485"/>
      <c r="E146" s="485"/>
      <c r="F146" s="485"/>
      <c r="G146" s="485"/>
      <c r="H146" s="42" t="s">
        <v>125</v>
      </c>
      <c r="I146" s="128">
        <f>SUM(I142:I145)</f>
        <v>163.85291666666669</v>
      </c>
      <c r="K146" s="163"/>
    </row>
    <row r="147" spans="1:13" ht="13" x14ac:dyDescent="0.25">
      <c r="A147" s="53"/>
      <c r="B147" s="53"/>
      <c r="C147" s="53"/>
      <c r="D147" s="53"/>
      <c r="E147" s="53"/>
      <c r="F147" s="53"/>
      <c r="G147" s="53"/>
      <c r="H147" s="53"/>
      <c r="I147" s="53"/>
    </row>
    <row r="148" spans="1:13" ht="13" x14ac:dyDescent="0.3">
      <c r="A148" s="37" t="s">
        <v>182</v>
      </c>
      <c r="B148" s="3"/>
      <c r="C148" s="3"/>
      <c r="D148" s="3"/>
      <c r="E148" s="3"/>
      <c r="F148" s="3"/>
      <c r="G148" s="3"/>
      <c r="H148" s="3"/>
      <c r="I148" s="3"/>
    </row>
    <row r="149" spans="1:13" ht="13" x14ac:dyDescent="0.3">
      <c r="A149" s="52"/>
      <c r="B149" s="3"/>
      <c r="C149" s="3"/>
      <c r="D149" s="3"/>
      <c r="E149" s="3"/>
      <c r="F149" s="3"/>
      <c r="G149" s="3"/>
      <c r="H149" s="3"/>
      <c r="I149" s="3"/>
    </row>
    <row r="150" spans="1:13" ht="13" x14ac:dyDescent="0.3">
      <c r="A150" s="492" t="s">
        <v>183</v>
      </c>
      <c r="B150" s="492"/>
      <c r="C150" s="492"/>
      <c r="D150" s="492"/>
      <c r="E150" s="492"/>
      <c r="F150" s="492"/>
      <c r="G150" s="492"/>
      <c r="H150" s="492"/>
      <c r="I150" s="492"/>
    </row>
    <row r="151" spans="1:13" ht="13" x14ac:dyDescent="0.3">
      <c r="A151" s="8">
        <v>6</v>
      </c>
      <c r="B151" s="477" t="s">
        <v>184</v>
      </c>
      <c r="C151" s="477"/>
      <c r="D151" s="477"/>
      <c r="E151" s="477"/>
      <c r="F151" s="477"/>
      <c r="G151" s="477"/>
      <c r="H151" s="8" t="s">
        <v>76</v>
      </c>
      <c r="I151" s="8" t="s">
        <v>77</v>
      </c>
    </row>
    <row r="152" spans="1:13" ht="13" x14ac:dyDescent="0.3">
      <c r="A152" s="8" t="s">
        <v>40</v>
      </c>
      <c r="B152" s="478" t="s">
        <v>185</v>
      </c>
      <c r="C152" s="478"/>
      <c r="D152" s="478"/>
      <c r="E152" s="478"/>
      <c r="F152" s="478"/>
      <c r="G152" s="478"/>
      <c r="H152" s="29">
        <v>0.05</v>
      </c>
      <c r="I152" s="259">
        <f>H152*I170</f>
        <v>286.98626449959994</v>
      </c>
      <c r="J152" s="32" t="s">
        <v>186</v>
      </c>
    </row>
    <row r="153" spans="1:13" ht="13" x14ac:dyDescent="0.3">
      <c r="A153" s="8" t="s">
        <v>42</v>
      </c>
      <c r="B153" s="478" t="s">
        <v>187</v>
      </c>
      <c r="C153" s="478"/>
      <c r="D153" s="478"/>
      <c r="E153" s="478"/>
      <c r="F153" s="478"/>
      <c r="G153" s="478"/>
      <c r="H153" s="29">
        <v>0.1</v>
      </c>
      <c r="I153" s="259">
        <f>H153*(I152+I170)</f>
        <v>602.67115544915987</v>
      </c>
      <c r="J153" s="32" t="s">
        <v>186</v>
      </c>
    </row>
    <row r="154" spans="1:13" ht="13" x14ac:dyDescent="0.3">
      <c r="A154" s="8" t="s">
        <v>45</v>
      </c>
      <c r="B154" s="483" t="s">
        <v>188</v>
      </c>
      <c r="C154" s="483"/>
      <c r="D154" s="483"/>
      <c r="E154" s="483"/>
      <c r="F154" s="483"/>
      <c r="G154" s="483"/>
      <c r="H154" s="2"/>
      <c r="I154" s="30"/>
    </row>
    <row r="155" spans="1:13" ht="13" x14ac:dyDescent="0.3">
      <c r="A155" s="8" t="s">
        <v>189</v>
      </c>
      <c r="B155" s="478" t="s">
        <v>190</v>
      </c>
      <c r="C155" s="478"/>
      <c r="D155" s="478"/>
      <c r="E155" s="478"/>
      <c r="F155" s="478"/>
      <c r="G155" s="478"/>
      <c r="H155" s="6">
        <v>1.6500000000000001E-2</v>
      </c>
      <c r="I155" s="259">
        <f>H155*$I$172</f>
        <v>127.56246613880178</v>
      </c>
      <c r="J155" s="32" t="s">
        <v>191</v>
      </c>
      <c r="K155" s="7"/>
    </row>
    <row r="156" spans="1:13" ht="13" x14ac:dyDescent="0.3">
      <c r="A156" s="8" t="s">
        <v>192</v>
      </c>
      <c r="B156" s="478" t="s">
        <v>193</v>
      </c>
      <c r="C156" s="478"/>
      <c r="D156" s="478"/>
      <c r="E156" s="478"/>
      <c r="F156" s="478"/>
      <c r="G156" s="478"/>
      <c r="H156" s="6">
        <v>7.5999999999999998E-2</v>
      </c>
      <c r="I156" s="259">
        <f t="shared" ref="I156:I157" si="2">H156*$I$172</f>
        <v>587.56045009387481</v>
      </c>
      <c r="J156" s="32" t="s">
        <v>191</v>
      </c>
      <c r="K156" s="7"/>
    </row>
    <row r="157" spans="1:13" ht="13" x14ac:dyDescent="0.3">
      <c r="A157" s="8" t="s">
        <v>194</v>
      </c>
      <c r="B157" s="478" t="s">
        <v>195</v>
      </c>
      <c r="C157" s="478"/>
      <c r="D157" s="478"/>
      <c r="E157" s="478"/>
      <c r="F157" s="478"/>
      <c r="G157" s="478"/>
      <c r="H157" s="6">
        <v>0.05</v>
      </c>
      <c r="I157" s="259">
        <f t="shared" si="2"/>
        <v>386.55292769333875</v>
      </c>
      <c r="J157" s="32" t="s">
        <v>191</v>
      </c>
      <c r="K157" s="7"/>
    </row>
    <row r="158" spans="1:13" ht="13" x14ac:dyDescent="0.3">
      <c r="A158" s="485" t="s">
        <v>196</v>
      </c>
      <c r="B158" s="485"/>
      <c r="C158" s="485"/>
      <c r="D158" s="485"/>
      <c r="E158" s="485"/>
      <c r="F158" s="485"/>
      <c r="G158" s="485"/>
      <c r="H158" s="54">
        <f>SUM(H152:H157)</f>
        <v>0.29250000000000004</v>
      </c>
      <c r="I158" s="128">
        <f>SUM(I152:I157)</f>
        <v>1991.333263874775</v>
      </c>
      <c r="K158" s="7"/>
      <c r="M158" s="7"/>
    </row>
    <row r="159" spans="1:13" x14ac:dyDescent="0.25">
      <c r="A159" s="251"/>
      <c r="B159" s="260"/>
      <c r="C159" s="260"/>
      <c r="D159" s="260"/>
      <c r="E159" s="260"/>
      <c r="F159" s="260"/>
      <c r="G159" s="260"/>
      <c r="H159" s="260"/>
      <c r="I159" s="260"/>
    </row>
    <row r="160" spans="1:13" ht="13" x14ac:dyDescent="0.25">
      <c r="A160" s="37" t="s">
        <v>197</v>
      </c>
      <c r="B160" s="260"/>
      <c r="C160" s="260"/>
      <c r="D160" s="260"/>
      <c r="E160" s="260"/>
      <c r="F160" s="260"/>
      <c r="G160" s="260"/>
      <c r="H160" s="260"/>
      <c r="I160" s="260"/>
    </row>
    <row r="161" spans="1:11" ht="13" x14ac:dyDescent="0.25">
      <c r="A161" s="37" t="s">
        <v>198</v>
      </c>
      <c r="B161" s="260"/>
      <c r="C161" s="260"/>
      <c r="D161" s="260"/>
      <c r="E161" s="260"/>
      <c r="F161" s="260"/>
      <c r="G161" s="260"/>
      <c r="H161" s="260"/>
      <c r="I161" s="260"/>
    </row>
    <row r="162" spans="1:11" ht="13" x14ac:dyDescent="0.3">
      <c r="A162" s="251"/>
      <c r="B162" s="251"/>
      <c r="C162" s="251"/>
      <c r="D162" s="251"/>
      <c r="E162" s="251"/>
      <c r="F162" s="251"/>
      <c r="G162" s="251"/>
      <c r="H162" s="251"/>
      <c r="I162" s="4"/>
    </row>
    <row r="163" spans="1:11" ht="13" x14ac:dyDescent="0.3">
      <c r="A163" s="480" t="s">
        <v>199</v>
      </c>
      <c r="B163" s="480"/>
      <c r="C163" s="480"/>
      <c r="D163" s="480"/>
      <c r="E163" s="480"/>
      <c r="F163" s="480"/>
      <c r="G163" s="480"/>
      <c r="H163" s="480"/>
      <c r="I163" s="480"/>
      <c r="K163" s="9"/>
    </row>
    <row r="164" spans="1:11" ht="13" x14ac:dyDescent="0.3">
      <c r="A164" s="477" t="s">
        <v>200</v>
      </c>
      <c r="B164" s="477"/>
      <c r="C164" s="477"/>
      <c r="D164" s="477"/>
      <c r="E164" s="477"/>
      <c r="F164" s="477"/>
      <c r="G164" s="477"/>
      <c r="H164" s="477"/>
      <c r="I164" s="8" t="s">
        <v>77</v>
      </c>
    </row>
    <row r="165" spans="1:11" x14ac:dyDescent="0.25">
      <c r="A165" s="253" t="s">
        <v>40</v>
      </c>
      <c r="B165" s="472" t="str">
        <f>A37</f>
        <v>MÓDULO 1 - COMPOSIÇÃO DA REMUNERAÇÃO</v>
      </c>
      <c r="C165" s="472"/>
      <c r="D165" s="472"/>
      <c r="E165" s="472"/>
      <c r="F165" s="472"/>
      <c r="G165" s="472"/>
      <c r="H165" s="472"/>
      <c r="I165" s="259">
        <f>I45</f>
        <v>2574.37</v>
      </c>
    </row>
    <row r="166" spans="1:11" x14ac:dyDescent="0.25">
      <c r="A166" s="253" t="s">
        <v>42</v>
      </c>
      <c r="B166" s="472" t="str">
        <f>A50</f>
        <v>MÓDULO 2 – ENCARGOS E BENEFÍCIOS ANUAIS, MENSAIS E DIÁRIOS</v>
      </c>
      <c r="C166" s="472"/>
      <c r="D166" s="472"/>
      <c r="E166" s="472"/>
      <c r="F166" s="472"/>
      <c r="G166" s="472"/>
      <c r="H166" s="472"/>
      <c r="I166" s="259">
        <f>I102</f>
        <v>2746.3328784213331</v>
      </c>
    </row>
    <row r="167" spans="1:11" ht="13" x14ac:dyDescent="0.3">
      <c r="A167" s="253" t="s">
        <v>45</v>
      </c>
      <c r="B167" s="472" t="str">
        <f>A104</f>
        <v>MÓDULO 3 – PROVISÃO PARA RESCISÃO</v>
      </c>
      <c r="C167" s="472"/>
      <c r="D167" s="472"/>
      <c r="E167" s="472"/>
      <c r="F167" s="472"/>
      <c r="G167" s="472"/>
      <c r="H167" s="472"/>
      <c r="I167" s="259">
        <f>I112</f>
        <v>182.97386262399999</v>
      </c>
      <c r="K167" s="9"/>
    </row>
    <row r="168" spans="1:11" ht="13" x14ac:dyDescent="0.3">
      <c r="A168" s="23" t="s">
        <v>48</v>
      </c>
      <c r="B168" s="472" t="str">
        <f>A114</f>
        <v>MÓDULO 4 – CUSTO DE REPOSIÇÃO DO PROFISSIONAL AUSENTE</v>
      </c>
      <c r="C168" s="472"/>
      <c r="D168" s="472"/>
      <c r="E168" s="472"/>
      <c r="F168" s="472"/>
      <c r="G168" s="472"/>
      <c r="H168" s="472"/>
      <c r="I168" s="259">
        <f>I138</f>
        <v>72.195632280000012</v>
      </c>
      <c r="K168" s="9"/>
    </row>
    <row r="169" spans="1:11" x14ac:dyDescent="0.25">
      <c r="A169" s="23" t="s">
        <v>84</v>
      </c>
      <c r="B169" s="472" t="str">
        <f>A140</f>
        <v>MÓDULO 5 – INSUMOS DIVERSOS</v>
      </c>
      <c r="C169" s="472"/>
      <c r="D169" s="472"/>
      <c r="E169" s="472"/>
      <c r="F169" s="472"/>
      <c r="G169" s="472"/>
      <c r="H169" s="472"/>
      <c r="I169" s="259">
        <f>I146</f>
        <v>163.85291666666669</v>
      </c>
    </row>
    <row r="170" spans="1:11" ht="13" x14ac:dyDescent="0.3">
      <c r="A170" s="8"/>
      <c r="B170" s="477" t="s">
        <v>201</v>
      </c>
      <c r="C170" s="477"/>
      <c r="D170" s="477"/>
      <c r="E170" s="477"/>
      <c r="F170" s="477"/>
      <c r="G170" s="477"/>
      <c r="H170" s="477"/>
      <c r="I170" s="26">
        <f>SUM(I165:I169)</f>
        <v>5739.7252899919986</v>
      </c>
      <c r="K170" s="7"/>
    </row>
    <row r="171" spans="1:11" x14ac:dyDescent="0.25">
      <c r="A171" s="23" t="s">
        <v>86</v>
      </c>
      <c r="B171" s="472" t="str">
        <f>A150</f>
        <v>MÓDULO 6 – CUSTOS INDIRETOS, TRIBUTOS E LUCRO</v>
      </c>
      <c r="C171" s="472"/>
      <c r="D171" s="472"/>
      <c r="E171" s="472"/>
      <c r="F171" s="472"/>
      <c r="G171" s="472"/>
      <c r="H171" s="472"/>
      <c r="I171" s="25">
        <f>I158</f>
        <v>1991.333263874775</v>
      </c>
    </row>
    <row r="172" spans="1:11" ht="13" x14ac:dyDescent="0.3">
      <c r="A172" s="485" t="s">
        <v>202</v>
      </c>
      <c r="B172" s="485"/>
      <c r="C172" s="485"/>
      <c r="D172" s="485"/>
      <c r="E172" s="485"/>
      <c r="F172" s="485"/>
      <c r="G172" s="485"/>
      <c r="H172" s="485"/>
      <c r="I172" s="128">
        <f>SUM(I45,I102,I112,I138,I146,I152,I153)/(1-SUM(H155:H157))</f>
        <v>7731.0585538667747</v>
      </c>
    </row>
    <row r="173" spans="1:11" ht="13" x14ac:dyDescent="0.3">
      <c r="A173" s="3"/>
      <c r="B173" s="3"/>
      <c r="C173" s="3"/>
      <c r="D173" s="3"/>
      <c r="E173" s="3"/>
      <c r="F173" s="3"/>
      <c r="G173" s="3"/>
      <c r="H173" s="3"/>
      <c r="I173" s="4"/>
    </row>
    <row r="175" spans="1:11" ht="13" outlineLevel="1" x14ac:dyDescent="0.25">
      <c r="A175" s="517" t="s">
        <v>232</v>
      </c>
      <c r="B175" s="518"/>
      <c r="C175" s="518"/>
      <c r="D175" s="518"/>
      <c r="E175" s="518"/>
      <c r="F175" s="518"/>
      <c r="G175" s="518"/>
      <c r="H175" s="518"/>
      <c r="I175" s="519"/>
    </row>
    <row r="176" spans="1:11" ht="13" outlineLevel="1" x14ac:dyDescent="0.3">
      <c r="A176" s="529"/>
      <c r="B176" s="530"/>
      <c r="C176" s="530"/>
      <c r="D176" s="530"/>
      <c r="E176" s="530"/>
      <c r="F176" s="530"/>
      <c r="G176" s="530"/>
      <c r="H176" s="530"/>
      <c r="I176" s="531"/>
    </row>
    <row r="177" spans="1:11" outlineLevel="1" x14ac:dyDescent="0.25">
      <c r="A177" s="556" t="s">
        <v>29</v>
      </c>
      <c r="B177" s="557"/>
      <c r="C177" s="557"/>
      <c r="D177" s="557"/>
      <c r="E177" s="557"/>
      <c r="F177" s="557"/>
      <c r="G177" s="557"/>
      <c r="H177" s="557"/>
      <c r="I177" s="558"/>
    </row>
    <row r="178" spans="1:11" ht="9.65" customHeight="1" outlineLevel="1" x14ac:dyDescent="0.25">
      <c r="A178" s="559"/>
      <c r="B178" s="560"/>
      <c r="C178" s="560"/>
      <c r="D178" s="560"/>
      <c r="E178" s="560"/>
      <c r="F178" s="560"/>
      <c r="G178" s="560"/>
      <c r="H178" s="560"/>
      <c r="I178" s="561"/>
    </row>
    <row r="179" spans="1:11" ht="39" outlineLevel="1" x14ac:dyDescent="0.3">
      <c r="A179" s="538" t="s">
        <v>207</v>
      </c>
      <c r="B179" s="538"/>
      <c r="C179" s="538"/>
      <c r="D179" s="540" t="s">
        <v>233</v>
      </c>
      <c r="E179" s="477"/>
      <c r="F179" s="477"/>
      <c r="G179" s="540" t="s">
        <v>218</v>
      </c>
      <c r="H179" s="477"/>
      <c r="I179" s="56" t="s">
        <v>212</v>
      </c>
    </row>
    <row r="180" spans="1:11" ht="39.65" customHeight="1" outlineLevel="1" x14ac:dyDescent="0.25">
      <c r="A180" s="541" t="s">
        <v>234</v>
      </c>
      <c r="B180" s="541"/>
      <c r="C180" s="541"/>
      <c r="D180" s="522">
        <v>800</v>
      </c>
      <c r="E180" s="541"/>
      <c r="F180" s="541"/>
      <c r="G180" s="542">
        <f>I172</f>
        <v>7731.0585538667747</v>
      </c>
      <c r="H180" s="541"/>
      <c r="I180" s="293">
        <f>TRUNC((1/D180*G180)/22,2)</f>
        <v>0.43</v>
      </c>
      <c r="K180" s="306" t="s">
        <v>231</v>
      </c>
    </row>
    <row r="181" spans="1:11" ht="13" x14ac:dyDescent="0.3">
      <c r="A181" s="477" t="s">
        <v>214</v>
      </c>
      <c r="B181" s="477"/>
      <c r="C181" s="477"/>
      <c r="D181" s="477"/>
      <c r="E181" s="477"/>
      <c r="F181" s="477"/>
      <c r="G181" s="477"/>
      <c r="H181" s="477"/>
      <c r="I181" s="174">
        <f>SUM(I180:I180)</f>
        <v>0.43</v>
      </c>
    </row>
    <row r="183" spans="1:11" s="41" customFormat="1" x14ac:dyDescent="0.25"/>
    <row r="184" spans="1:11" x14ac:dyDescent="0.25">
      <c r="A184" s="556" t="s">
        <v>235</v>
      </c>
      <c r="B184" s="557"/>
      <c r="C184" s="557"/>
      <c r="D184" s="557"/>
      <c r="E184" s="557"/>
      <c r="F184" s="557"/>
      <c r="G184" s="557"/>
      <c r="H184" s="557"/>
      <c r="I184" s="558"/>
    </row>
    <row r="185" spans="1:11" x14ac:dyDescent="0.25">
      <c r="A185" s="559"/>
      <c r="B185" s="560"/>
      <c r="C185" s="560"/>
      <c r="D185" s="560"/>
      <c r="E185" s="560"/>
      <c r="F185" s="560"/>
      <c r="G185" s="560"/>
      <c r="H185" s="560"/>
      <c r="I185" s="561"/>
    </row>
    <row r="186" spans="1:11" ht="32.15" customHeight="1" x14ac:dyDescent="0.25">
      <c r="A186" s="522" t="s">
        <v>69</v>
      </c>
      <c r="B186" s="522"/>
      <c r="C186" s="522"/>
      <c r="D186" s="522">
        <v>22</v>
      </c>
      <c r="E186" s="541"/>
      <c r="F186" s="541"/>
      <c r="G186" s="542">
        <f>I172</f>
        <v>7731.0585538667747</v>
      </c>
      <c r="H186" s="541"/>
      <c r="I186" s="293">
        <f>TRUNC(G186/D186,2)</f>
        <v>351.41</v>
      </c>
    </row>
    <row r="187" spans="1:11" ht="13" x14ac:dyDescent="0.3">
      <c r="A187" s="477" t="s">
        <v>236</v>
      </c>
      <c r="B187" s="477"/>
      <c r="C187" s="477"/>
      <c r="D187" s="477"/>
      <c r="E187" s="477"/>
      <c r="F187" s="477"/>
      <c r="G187" s="477"/>
      <c r="H187" s="477"/>
      <c r="I187" s="174">
        <f>SUM(I186:I186)</f>
        <v>351.41</v>
      </c>
    </row>
  </sheetData>
  <mergeCells count="133">
    <mergeCell ref="B10:H10"/>
    <mergeCell ref="B11:H11"/>
    <mergeCell ref="B12:H12"/>
    <mergeCell ref="A14:I14"/>
    <mergeCell ref="A15:B15"/>
    <mergeCell ref="C15:D15"/>
    <mergeCell ref="E15:I15"/>
    <mergeCell ref="A1:I1"/>
    <mergeCell ref="A3:F3"/>
    <mergeCell ref="A4:F4"/>
    <mergeCell ref="A6:F6"/>
    <mergeCell ref="A8:I8"/>
    <mergeCell ref="B9:H9"/>
    <mergeCell ref="B30:H30"/>
    <mergeCell ref="B31:H31"/>
    <mergeCell ref="B32:H32"/>
    <mergeCell ref="A37:I37"/>
    <mergeCell ref="B38:G38"/>
    <mergeCell ref="B39:G39"/>
    <mergeCell ref="A16:B16"/>
    <mergeCell ref="C16:D16"/>
    <mergeCell ref="E16:I16"/>
    <mergeCell ref="A27:I27"/>
    <mergeCell ref="B28:H28"/>
    <mergeCell ref="B29:H29"/>
    <mergeCell ref="A50:I50"/>
    <mergeCell ref="B51:G51"/>
    <mergeCell ref="B52:G52"/>
    <mergeCell ref="B53:G53"/>
    <mergeCell ref="A54:G54"/>
    <mergeCell ref="B55:G55"/>
    <mergeCell ref="B40:G40"/>
    <mergeCell ref="B41:G41"/>
    <mergeCell ref="B42:G42"/>
    <mergeCell ref="B43:G43"/>
    <mergeCell ref="B44:G44"/>
    <mergeCell ref="A45:H45"/>
    <mergeCell ref="B71:G71"/>
    <mergeCell ref="B72:G72"/>
    <mergeCell ref="B73:G73"/>
    <mergeCell ref="B74:G74"/>
    <mergeCell ref="A75:G75"/>
    <mergeCell ref="B83:G83"/>
    <mergeCell ref="A56:G56"/>
    <mergeCell ref="B66:G66"/>
    <mergeCell ref="B67:G67"/>
    <mergeCell ref="B68:G68"/>
    <mergeCell ref="B69:G69"/>
    <mergeCell ref="B70:G70"/>
    <mergeCell ref="A90:H90"/>
    <mergeCell ref="A98:H98"/>
    <mergeCell ref="B99:H99"/>
    <mergeCell ref="B100:H100"/>
    <mergeCell ref="B101:H101"/>
    <mergeCell ref="A102:H102"/>
    <mergeCell ref="B84:G84"/>
    <mergeCell ref="B85:G85"/>
    <mergeCell ref="B86:G86"/>
    <mergeCell ref="B87:G87"/>
    <mergeCell ref="B88:G88"/>
    <mergeCell ref="B89:G89"/>
    <mergeCell ref="B109:G109"/>
    <mergeCell ref="B110:G110"/>
    <mergeCell ref="B111:G111"/>
    <mergeCell ref="A112:G112"/>
    <mergeCell ref="A113:I113"/>
    <mergeCell ref="A114:I114"/>
    <mergeCell ref="A103:I103"/>
    <mergeCell ref="A104:I104"/>
    <mergeCell ref="B105:G105"/>
    <mergeCell ref="B106:G106"/>
    <mergeCell ref="B107:G107"/>
    <mergeCell ref="B108:G108"/>
    <mergeCell ref="B125:G125"/>
    <mergeCell ref="A126:G126"/>
    <mergeCell ref="B127:G127"/>
    <mergeCell ref="A128:G128"/>
    <mergeCell ref="B130:G130"/>
    <mergeCell ref="B131:G131"/>
    <mergeCell ref="B119:G119"/>
    <mergeCell ref="B120:G120"/>
    <mergeCell ref="B121:G121"/>
    <mergeCell ref="B122:G122"/>
    <mergeCell ref="B123:G123"/>
    <mergeCell ref="B124:G124"/>
    <mergeCell ref="A139:I139"/>
    <mergeCell ref="A140:I140"/>
    <mergeCell ref="B141:G141"/>
    <mergeCell ref="B142:G142"/>
    <mergeCell ref="B143:G143"/>
    <mergeCell ref="B144:G144"/>
    <mergeCell ref="A132:G132"/>
    <mergeCell ref="A134:I134"/>
    <mergeCell ref="B135:G135"/>
    <mergeCell ref="B136:G136"/>
    <mergeCell ref="B137:G137"/>
    <mergeCell ref="A138:H138"/>
    <mergeCell ref="B154:G154"/>
    <mergeCell ref="B155:G155"/>
    <mergeCell ref="B156:G156"/>
    <mergeCell ref="B157:G157"/>
    <mergeCell ref="A158:G158"/>
    <mergeCell ref="A163:I163"/>
    <mergeCell ref="B145:G145"/>
    <mergeCell ref="A146:G146"/>
    <mergeCell ref="A150:I150"/>
    <mergeCell ref="B151:G151"/>
    <mergeCell ref="B152:G152"/>
    <mergeCell ref="B153:G153"/>
    <mergeCell ref="B170:H170"/>
    <mergeCell ref="B171:H171"/>
    <mergeCell ref="A172:H172"/>
    <mergeCell ref="A175:I175"/>
    <mergeCell ref="A176:I176"/>
    <mergeCell ref="A177:I178"/>
    <mergeCell ref="A164:H164"/>
    <mergeCell ref="B165:H165"/>
    <mergeCell ref="B166:H166"/>
    <mergeCell ref="B167:H167"/>
    <mergeCell ref="B168:H168"/>
    <mergeCell ref="B169:H169"/>
    <mergeCell ref="A181:H181"/>
    <mergeCell ref="A184:I185"/>
    <mergeCell ref="A186:C186"/>
    <mergeCell ref="D186:F186"/>
    <mergeCell ref="G186:H186"/>
    <mergeCell ref="A187:H187"/>
    <mergeCell ref="A179:C179"/>
    <mergeCell ref="D179:F179"/>
    <mergeCell ref="G179:H179"/>
    <mergeCell ref="A180:C180"/>
    <mergeCell ref="D180:F180"/>
    <mergeCell ref="G180:H180"/>
  </mergeCells>
  <pageMargins left="0.39370078740157483" right="0.19685039370078741" top="0.59055118110236227" bottom="0.39370078740157483" header="0.15748031496062992" footer="0.15748031496062992"/>
  <pageSetup paperSize="9" firstPageNumber="0" orientation="portrait" horizontalDpi="300" verticalDpi="300"/>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39997558519241921"/>
  </sheetPr>
  <dimension ref="B1:V66"/>
  <sheetViews>
    <sheetView topLeftCell="E16" zoomScale="110" zoomScaleNormal="110" workbookViewId="0">
      <selection activeCell="I25" sqref="I25"/>
    </sheetView>
  </sheetViews>
  <sheetFormatPr defaultRowHeight="12.75" customHeight="1" x14ac:dyDescent="0.25"/>
  <cols>
    <col min="2" max="2" width="16.26953125" bestFit="1" customWidth="1"/>
    <col min="3" max="3" width="10.7265625" customWidth="1"/>
    <col min="4" max="4" width="20.7265625" customWidth="1"/>
    <col min="5" max="5" width="15.453125" customWidth="1"/>
    <col min="8" max="8" width="47.54296875" customWidth="1"/>
    <col min="9" max="9" width="14.81640625" customWidth="1"/>
    <col min="11" max="11" width="46.1796875" customWidth="1"/>
    <col min="12" max="12" width="13.7265625" customWidth="1"/>
  </cols>
  <sheetData>
    <row r="1" spans="2:12" ht="12.5" x14ac:dyDescent="0.25"/>
    <row r="2" spans="2:12" ht="13" x14ac:dyDescent="0.25">
      <c r="B2" s="456" t="s">
        <v>239</v>
      </c>
      <c r="C2" s="457"/>
      <c r="D2" s="457"/>
      <c r="E2" s="458"/>
      <c r="H2" s="456" t="s">
        <v>240</v>
      </c>
      <c r="I2" s="458"/>
      <c r="K2" s="456" t="s">
        <v>241</v>
      </c>
      <c r="L2" s="458"/>
    </row>
    <row r="3" spans="2:12" ht="13" x14ac:dyDescent="0.25">
      <c r="B3" s="68"/>
      <c r="E3" s="69"/>
      <c r="F3" s="53"/>
      <c r="G3" s="53"/>
      <c r="H3" s="68"/>
      <c r="I3" s="69"/>
      <c r="K3" s="68"/>
      <c r="L3" s="69"/>
    </row>
    <row r="4" spans="2:12" ht="12.5" x14ac:dyDescent="0.25">
      <c r="B4" s="91" t="s">
        <v>242</v>
      </c>
      <c r="C4" s="62"/>
      <c r="D4" s="62"/>
      <c r="E4" s="127">
        <v>5.5</v>
      </c>
      <c r="H4" s="91" t="s">
        <v>242</v>
      </c>
      <c r="I4" s="127">
        <v>5.5</v>
      </c>
      <c r="K4" s="91" t="s">
        <v>242</v>
      </c>
      <c r="L4" s="127">
        <v>5.5</v>
      </c>
    </row>
    <row r="5" spans="2:12" ht="12.5" x14ac:dyDescent="0.25">
      <c r="B5" s="91" t="s">
        <v>243</v>
      </c>
      <c r="C5" s="62"/>
      <c r="D5" s="62"/>
      <c r="E5" s="126">
        <v>2</v>
      </c>
      <c r="H5" s="91" t="s">
        <v>243</v>
      </c>
      <c r="I5" s="126">
        <v>2</v>
      </c>
      <c r="K5" s="91" t="s">
        <v>243</v>
      </c>
      <c r="L5" s="126">
        <v>2</v>
      </c>
    </row>
    <row r="6" spans="2:12" ht="12.5" x14ac:dyDescent="0.25">
      <c r="B6" s="91" t="s">
        <v>244</v>
      </c>
      <c r="C6" s="62"/>
      <c r="D6" s="62"/>
      <c r="E6" s="126">
        <v>22</v>
      </c>
      <c r="H6" s="91" t="s">
        <v>244</v>
      </c>
      <c r="I6" s="126">
        <v>22</v>
      </c>
      <c r="K6" s="91" t="s">
        <v>244</v>
      </c>
      <c r="L6" s="126">
        <v>22</v>
      </c>
    </row>
    <row r="7" spans="2:12" ht="12.5" x14ac:dyDescent="0.25">
      <c r="B7" s="91" t="s">
        <v>245</v>
      </c>
      <c r="C7" s="62"/>
      <c r="D7" s="62"/>
      <c r="E7" s="185">
        <v>0.06</v>
      </c>
      <c r="H7" s="91" t="s">
        <v>245</v>
      </c>
      <c r="I7" s="185">
        <v>0.06</v>
      </c>
      <c r="K7" s="91" t="s">
        <v>245</v>
      </c>
      <c r="L7" s="185">
        <v>0.06</v>
      </c>
    </row>
    <row r="8" spans="2:12" ht="12.5" x14ac:dyDescent="0.25">
      <c r="B8" s="68"/>
      <c r="E8" s="69"/>
      <c r="H8" s="68"/>
      <c r="I8" s="69"/>
      <c r="K8" s="68"/>
      <c r="L8" s="69"/>
    </row>
    <row r="9" spans="2:12" ht="12.5" x14ac:dyDescent="0.25">
      <c r="B9" s="92" t="s">
        <v>246</v>
      </c>
      <c r="C9" s="62"/>
      <c r="D9" s="62"/>
      <c r="E9" s="94">
        <f>(E4*E5*E6)</f>
        <v>242</v>
      </c>
      <c r="H9" s="92" t="s">
        <v>246</v>
      </c>
      <c r="I9" s="94">
        <f>I4*I5*I6</f>
        <v>242</v>
      </c>
      <c r="K9" s="92" t="s">
        <v>246</v>
      </c>
      <c r="L9" s="94">
        <f>L4*L5*L6</f>
        <v>242</v>
      </c>
    </row>
    <row r="10" spans="2:12" ht="12.5" x14ac:dyDescent="0.25">
      <c r="B10" s="92" t="s">
        <v>247</v>
      </c>
      <c r="C10" s="62"/>
      <c r="D10" s="62"/>
      <c r="E10" s="94">
        <f>'Limpeza - Item 1'!I30*'Mód2.3 '!E7</f>
        <v>104.62139999999999</v>
      </c>
      <c r="H10" s="92" t="s">
        <v>247</v>
      </c>
      <c r="I10" s="94">
        <f>'Limpeza - Item 1'!AA30*'Mód2.3 '!I7</f>
        <v>203.01</v>
      </c>
      <c r="K10" s="92" t="s">
        <v>247</v>
      </c>
      <c r="L10" s="94">
        <f>'Jardinagem - Item4'!I30*'Mód2.3 '!L7</f>
        <v>154.4622</v>
      </c>
    </row>
    <row r="11" spans="2:12" ht="12.5" x14ac:dyDescent="0.25">
      <c r="B11" s="68"/>
      <c r="E11" s="69"/>
      <c r="H11" s="68"/>
      <c r="I11" s="69"/>
      <c r="K11" s="68"/>
      <c r="L11" s="69"/>
    </row>
    <row r="12" spans="2:12" ht="13" x14ac:dyDescent="0.3">
      <c r="B12" s="76" t="s">
        <v>248</v>
      </c>
      <c r="C12" s="77"/>
      <c r="D12" s="77"/>
      <c r="E12" s="90">
        <f>E9-E10</f>
        <v>137.37860000000001</v>
      </c>
      <c r="H12" s="76" t="s">
        <v>248</v>
      </c>
      <c r="I12" s="90">
        <f>I9-I10</f>
        <v>38.990000000000009</v>
      </c>
      <c r="K12" s="76" t="s">
        <v>248</v>
      </c>
      <c r="L12" s="90">
        <f>L9-L10</f>
        <v>87.537800000000004</v>
      </c>
    </row>
    <row r="13" spans="2:12" ht="12.5" x14ac:dyDescent="0.25">
      <c r="E13" s="7"/>
    </row>
    <row r="14" spans="2:12" ht="12.5" x14ac:dyDescent="0.25">
      <c r="E14" s="7"/>
    </row>
    <row r="15" spans="2:12" ht="13" x14ac:dyDescent="0.25">
      <c r="B15" s="456" t="s">
        <v>249</v>
      </c>
      <c r="C15" s="457"/>
      <c r="D15" s="457"/>
      <c r="E15" s="458"/>
    </row>
    <row r="16" spans="2:12" ht="12.5" x14ac:dyDescent="0.25">
      <c r="B16" s="68"/>
      <c r="E16" s="69"/>
    </row>
    <row r="17" spans="2:5" ht="12.5" x14ac:dyDescent="0.25">
      <c r="B17" s="91" t="s">
        <v>250</v>
      </c>
      <c r="C17" s="62"/>
      <c r="D17" s="62"/>
      <c r="E17" s="127">
        <v>44.3</v>
      </c>
    </row>
    <row r="18" spans="2:5" ht="12.5" x14ac:dyDescent="0.25">
      <c r="B18" s="91" t="s">
        <v>244</v>
      </c>
      <c r="C18" s="62"/>
      <c r="D18" s="62"/>
      <c r="E18" s="126">
        <v>22</v>
      </c>
    </row>
    <row r="19" spans="2:5" ht="12.5" x14ac:dyDescent="0.25">
      <c r="B19" s="91" t="s">
        <v>251</v>
      </c>
      <c r="C19" s="62"/>
      <c r="D19" s="62"/>
      <c r="E19" s="214">
        <v>0.2</v>
      </c>
    </row>
    <row r="20" spans="2:5" ht="12.5" x14ac:dyDescent="0.25">
      <c r="B20" s="68"/>
      <c r="E20" s="69"/>
    </row>
    <row r="21" spans="2:5" ht="12.5" x14ac:dyDescent="0.25">
      <c r="B21" s="92" t="s">
        <v>252</v>
      </c>
      <c r="C21" s="62"/>
      <c r="D21" s="62"/>
      <c r="E21" s="93">
        <f>E17*E18</f>
        <v>974.59999999999991</v>
      </c>
    </row>
    <row r="22" spans="2:5" ht="12.5" x14ac:dyDescent="0.25">
      <c r="B22" s="92" t="s">
        <v>253</v>
      </c>
      <c r="C22" s="62"/>
      <c r="D22" s="62"/>
      <c r="E22" s="175"/>
    </row>
    <row r="23" spans="2:5" ht="12.5" x14ac:dyDescent="0.25">
      <c r="B23" s="92" t="s">
        <v>247</v>
      </c>
      <c r="C23" s="62"/>
      <c r="D23" s="62"/>
      <c r="E23" s="93">
        <v>0</v>
      </c>
    </row>
    <row r="24" spans="2:5" ht="12.5" x14ac:dyDescent="0.25">
      <c r="B24" s="68"/>
      <c r="E24" s="69"/>
    </row>
    <row r="25" spans="2:5" ht="13" x14ac:dyDescent="0.3">
      <c r="B25" s="76" t="s">
        <v>254</v>
      </c>
      <c r="C25" s="77"/>
      <c r="D25" s="77"/>
      <c r="E25" s="90">
        <f>E21-E23+E22</f>
        <v>974.59999999999991</v>
      </c>
    </row>
    <row r="26" spans="2:5" ht="12.5" x14ac:dyDescent="0.25">
      <c r="E26" s="7"/>
    </row>
    <row r="27" spans="2:5" ht="12.5" x14ac:dyDescent="0.25">
      <c r="E27" s="7"/>
    </row>
    <row r="28" spans="2:5" ht="13" x14ac:dyDescent="0.25">
      <c r="B28" s="456" t="s">
        <v>255</v>
      </c>
      <c r="C28" s="457"/>
      <c r="D28" s="457"/>
      <c r="E28" s="458"/>
    </row>
    <row r="29" spans="2:5" ht="12.5" x14ac:dyDescent="0.25">
      <c r="B29" s="68"/>
      <c r="E29" s="69"/>
    </row>
    <row r="30" spans="2:5" ht="12.5" x14ac:dyDescent="0.25">
      <c r="B30" s="91" t="s">
        <v>256</v>
      </c>
      <c r="C30" s="62"/>
      <c r="D30" s="62"/>
      <c r="E30" s="176"/>
    </row>
    <row r="31" spans="2:5" ht="12.5" x14ac:dyDescent="0.25">
      <c r="B31" s="91" t="s">
        <v>257</v>
      </c>
      <c r="C31" s="62"/>
      <c r="D31" s="62"/>
      <c r="E31" s="176"/>
    </row>
    <row r="32" spans="2:5" ht="12.5" x14ac:dyDescent="0.25">
      <c r="B32" s="68"/>
      <c r="E32" s="69"/>
    </row>
    <row r="33" spans="2:22" ht="13" x14ac:dyDescent="0.3">
      <c r="B33" s="76" t="s">
        <v>258</v>
      </c>
      <c r="C33" s="77"/>
      <c r="D33" s="77"/>
      <c r="E33" s="90">
        <f>E30*'Limpeza - Item 1'!I45</f>
        <v>0</v>
      </c>
    </row>
    <row r="34" spans="2:22" ht="12.5" x14ac:dyDescent="0.25">
      <c r="E34" s="7"/>
    </row>
    <row r="35" spans="2:22" ht="13.5" customHeight="1" x14ac:dyDescent="0.25">
      <c r="E35" s="7"/>
      <c r="M35" s="571"/>
      <c r="N35" s="571"/>
      <c r="O35" s="571"/>
      <c r="P35" s="571"/>
      <c r="Q35" s="571"/>
      <c r="R35" s="571"/>
      <c r="S35" s="571"/>
      <c r="T35" s="571"/>
      <c r="U35" s="121"/>
    </row>
    <row r="36" spans="2:22" ht="13" x14ac:dyDescent="0.25">
      <c r="B36" s="570" t="s">
        <v>547</v>
      </c>
      <c r="C36" s="457"/>
      <c r="D36" s="457"/>
      <c r="E36" s="458"/>
      <c r="M36" s="571"/>
      <c r="N36" s="571"/>
      <c r="O36" s="571"/>
      <c r="P36" s="571"/>
      <c r="Q36" s="571"/>
      <c r="R36" s="571"/>
      <c r="S36" s="571"/>
      <c r="T36" s="571"/>
      <c r="U36" s="121"/>
    </row>
    <row r="37" spans="2:22" ht="12.5" x14ac:dyDescent="0.25">
      <c r="B37" s="96"/>
      <c r="C37" s="97"/>
      <c r="D37" s="97"/>
      <c r="E37" s="98"/>
      <c r="M37" s="571"/>
      <c r="N37" s="571"/>
      <c r="O37" s="571"/>
      <c r="P37" s="571"/>
      <c r="Q37" s="571"/>
      <c r="R37" s="571"/>
      <c r="S37" s="571"/>
      <c r="T37" s="571"/>
      <c r="U37" s="121"/>
    </row>
    <row r="38" spans="2:22" ht="12.5" x14ac:dyDescent="0.25">
      <c r="B38" s="91"/>
      <c r="C38" s="62"/>
      <c r="D38" s="62"/>
      <c r="E38" s="421"/>
      <c r="M38" s="571"/>
      <c r="N38" s="571"/>
      <c r="O38" s="571"/>
      <c r="P38" s="571"/>
      <c r="Q38" s="571"/>
      <c r="R38" s="571"/>
      <c r="S38" s="571"/>
      <c r="T38" s="571"/>
      <c r="U38" s="121"/>
    </row>
    <row r="39" spans="2:22" ht="12.5" x14ac:dyDescent="0.25">
      <c r="B39" s="91" t="s">
        <v>259</v>
      </c>
      <c r="C39" s="62"/>
      <c r="D39" s="62"/>
      <c r="E39" s="422">
        <v>13.64</v>
      </c>
      <c r="M39" s="571"/>
      <c r="N39" s="571"/>
      <c r="O39" s="571"/>
      <c r="P39" s="571"/>
      <c r="Q39" s="571"/>
      <c r="R39" s="571"/>
      <c r="S39" s="571"/>
      <c r="T39" s="571"/>
      <c r="U39" s="121"/>
    </row>
    <row r="40" spans="2:22" ht="12.5" x14ac:dyDescent="0.25">
      <c r="B40" s="91"/>
      <c r="C40" s="62"/>
      <c r="D40" s="95"/>
      <c r="E40" s="129"/>
      <c r="M40" s="121"/>
      <c r="N40" s="121"/>
      <c r="O40" s="121"/>
      <c r="P40" s="121"/>
      <c r="Q40" s="121"/>
      <c r="R40" s="121"/>
      <c r="S40" s="121"/>
      <c r="T40" s="121"/>
      <c r="U40" s="121"/>
    </row>
    <row r="41" spans="2:22" ht="13" thickBot="1" x14ac:dyDescent="0.3">
      <c r="B41" s="99"/>
      <c r="C41" s="100"/>
      <c r="D41" s="100"/>
      <c r="E41" s="101"/>
      <c r="M41" s="121"/>
      <c r="N41" s="121"/>
      <c r="O41" s="121"/>
      <c r="P41" s="121"/>
      <c r="Q41" s="121"/>
      <c r="R41" s="121"/>
      <c r="S41" s="121"/>
      <c r="T41" s="121"/>
      <c r="U41" s="121"/>
    </row>
    <row r="42" spans="2:22" ht="13.5" thickBot="1" x14ac:dyDescent="0.35">
      <c r="B42" s="76" t="s">
        <v>260</v>
      </c>
      <c r="C42" s="77"/>
      <c r="D42" s="77"/>
      <c r="E42" s="90">
        <f>E38+E39</f>
        <v>13.64</v>
      </c>
      <c r="G42" s="572"/>
      <c r="H42" s="572"/>
      <c r="I42" s="572"/>
    </row>
    <row r="43" spans="2:22" ht="13" x14ac:dyDescent="0.3">
      <c r="E43" s="7"/>
      <c r="G43" s="435"/>
      <c r="H43" s="436"/>
    </row>
    <row r="44" spans="2:22" ht="14.5" thickBot="1" x14ac:dyDescent="0.35">
      <c r="E44" s="7"/>
      <c r="G44" s="435"/>
      <c r="H44" s="436"/>
      <c r="I44" s="120"/>
      <c r="J44" s="120"/>
      <c r="K44" s="120"/>
      <c r="V44" t="s">
        <v>261</v>
      </c>
    </row>
    <row r="45" spans="2:22" ht="13.5" thickBot="1" x14ac:dyDescent="0.3">
      <c r="B45" s="456" t="s">
        <v>262</v>
      </c>
      <c r="C45" s="457"/>
      <c r="D45" s="457"/>
      <c r="E45" s="458"/>
      <c r="V45" t="s">
        <v>263</v>
      </c>
    </row>
    <row r="46" spans="2:22" ht="12.5" x14ac:dyDescent="0.25">
      <c r="B46" s="96"/>
      <c r="C46" s="97"/>
      <c r="D46" s="97"/>
      <c r="E46" s="98"/>
      <c r="V46" t="s">
        <v>264</v>
      </c>
    </row>
    <row r="47" spans="2:22" ht="12.5" x14ac:dyDescent="0.25">
      <c r="B47" s="91" t="s">
        <v>265</v>
      </c>
      <c r="C47" s="62"/>
      <c r="D47" s="62"/>
      <c r="E47" s="127"/>
    </row>
    <row r="48" spans="2:22" ht="12.5" x14ac:dyDescent="0.25">
      <c r="B48" s="91" t="s">
        <v>266</v>
      </c>
      <c r="C48" s="62"/>
      <c r="D48" s="62"/>
      <c r="E48" s="127"/>
    </row>
    <row r="49" spans="2:14" ht="12.5" x14ac:dyDescent="0.25">
      <c r="B49" s="91" t="s">
        <v>267</v>
      </c>
      <c r="C49" s="62"/>
      <c r="D49" s="95"/>
      <c r="E49" s="130"/>
    </row>
    <row r="50" spans="2:14" ht="12.5" x14ac:dyDescent="0.25">
      <c r="B50" s="99" t="s">
        <v>268</v>
      </c>
      <c r="C50" s="100"/>
      <c r="D50" s="100"/>
      <c r="E50" s="124">
        <v>1</v>
      </c>
    </row>
    <row r="51" spans="2:14" ht="13" x14ac:dyDescent="0.3">
      <c r="B51" s="76" t="s">
        <v>269</v>
      </c>
      <c r="C51" s="77"/>
      <c r="D51" s="77"/>
      <c r="E51" s="122">
        <f>((E47*E49)+(E48*E49))/E50</f>
        <v>0</v>
      </c>
    </row>
    <row r="52" spans="2:14" ht="13" x14ac:dyDescent="0.25">
      <c r="B52" s="83" t="s">
        <v>270</v>
      </c>
      <c r="C52" s="77"/>
      <c r="D52" s="77"/>
      <c r="E52" s="123">
        <v>3.61</v>
      </c>
    </row>
    <row r="53" spans="2:14" ht="12.5" x14ac:dyDescent="0.25"/>
    <row r="54" spans="2:14" ht="13" x14ac:dyDescent="0.25">
      <c r="B54" s="456"/>
      <c r="C54" s="457"/>
      <c r="D54" s="457"/>
      <c r="E54" s="458"/>
    </row>
    <row r="55" spans="2:14" ht="13" x14ac:dyDescent="0.25">
      <c r="B55" s="102"/>
      <c r="C55" s="103"/>
      <c r="D55" s="103"/>
      <c r="E55" s="104"/>
    </row>
    <row r="56" spans="2:14" ht="12.5" x14ac:dyDescent="0.25">
      <c r="B56" s="106" t="s">
        <v>271</v>
      </c>
      <c r="C56" s="62"/>
      <c r="D56" s="62"/>
      <c r="E56" s="127"/>
    </row>
    <row r="57" spans="2:14" ht="12.75" customHeight="1" x14ac:dyDescent="0.25">
      <c r="B57" s="106" t="s">
        <v>272</v>
      </c>
      <c r="C57" s="62"/>
      <c r="D57" s="62"/>
      <c r="E57" s="126"/>
      <c r="H57" s="571"/>
      <c r="I57" s="571"/>
      <c r="J57" s="571"/>
      <c r="K57" s="571"/>
      <c r="L57" s="571"/>
      <c r="M57" s="571"/>
      <c r="N57" s="571"/>
    </row>
    <row r="58" spans="2:14" ht="13.5" customHeight="1" x14ac:dyDescent="0.25">
      <c r="B58" s="99" t="s">
        <v>273</v>
      </c>
      <c r="C58" s="100"/>
      <c r="D58" s="100"/>
      <c r="E58" s="131">
        <v>2</v>
      </c>
      <c r="H58" s="571"/>
      <c r="I58" s="571"/>
      <c r="J58" s="571"/>
      <c r="K58" s="571"/>
      <c r="L58" s="571"/>
      <c r="M58" s="571"/>
      <c r="N58" s="571"/>
    </row>
    <row r="59" spans="2:14" ht="13" x14ac:dyDescent="0.25">
      <c r="B59" s="125" t="s">
        <v>269</v>
      </c>
      <c r="C59" s="77"/>
      <c r="D59" s="77"/>
      <c r="E59" s="122">
        <f>E56*E57*E58</f>
        <v>0</v>
      </c>
      <c r="H59" s="571"/>
      <c r="I59" s="571"/>
      <c r="J59" s="571"/>
      <c r="K59" s="571"/>
      <c r="L59" s="571"/>
      <c r="M59" s="571"/>
      <c r="N59" s="571"/>
    </row>
    <row r="60" spans="2:14" ht="13" x14ac:dyDescent="0.25">
      <c r="B60" s="83" t="s">
        <v>270</v>
      </c>
      <c r="C60" s="77"/>
      <c r="D60" s="77"/>
      <c r="E60" s="123">
        <f>E59/12</f>
        <v>0</v>
      </c>
    </row>
    <row r="63" spans="2:14" ht="12.5" x14ac:dyDescent="0.25">
      <c r="B63" s="568" t="s">
        <v>274</v>
      </c>
      <c r="C63" s="569"/>
      <c r="D63" s="569"/>
      <c r="E63" s="569"/>
      <c r="F63" s="569"/>
      <c r="G63" s="569"/>
      <c r="H63" s="569"/>
    </row>
    <row r="64" spans="2:14" ht="12.5" x14ac:dyDescent="0.25">
      <c r="B64" s="569"/>
      <c r="C64" s="569"/>
      <c r="D64" s="569"/>
      <c r="E64" s="569"/>
      <c r="F64" s="569"/>
      <c r="G64" s="569"/>
      <c r="H64" s="569"/>
    </row>
    <row r="65" spans="2:8" ht="12.5" x14ac:dyDescent="0.25">
      <c r="B65" s="569"/>
      <c r="C65" s="569"/>
      <c r="D65" s="569"/>
      <c r="E65" s="569"/>
      <c r="F65" s="569"/>
      <c r="G65" s="569"/>
      <c r="H65" s="569"/>
    </row>
    <row r="66" spans="2:8" ht="12.5" x14ac:dyDescent="0.25">
      <c r="B66" s="569"/>
      <c r="C66" s="569"/>
      <c r="D66" s="569"/>
      <c r="E66" s="569"/>
      <c r="F66" s="569"/>
      <c r="G66" s="569"/>
      <c r="H66" s="569"/>
    </row>
  </sheetData>
  <mergeCells count="13">
    <mergeCell ref="B2:E2"/>
    <mergeCell ref="B15:E15"/>
    <mergeCell ref="B28:E28"/>
    <mergeCell ref="B63:H66"/>
    <mergeCell ref="B36:E36"/>
    <mergeCell ref="B45:E45"/>
    <mergeCell ref="B54:E54"/>
    <mergeCell ref="H57:N57"/>
    <mergeCell ref="H58:N59"/>
    <mergeCell ref="M35:T39"/>
    <mergeCell ref="H2:I2"/>
    <mergeCell ref="K2:L2"/>
    <mergeCell ref="G42:I42"/>
  </mergeCells>
  <pageMargins left="0.511811024" right="0.511811024" top="0.78740157499999996" bottom="0.78740157499999996" header="0.31496062000000002" footer="0.31496062000000002"/>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9" tint="0.39997558519241921"/>
  </sheetPr>
  <dimension ref="A1:M43"/>
  <sheetViews>
    <sheetView topLeftCell="A7" zoomScale="85" zoomScaleNormal="85" workbookViewId="0">
      <selection activeCell="B19" sqref="B19"/>
    </sheetView>
  </sheetViews>
  <sheetFormatPr defaultRowHeight="12.5" x14ac:dyDescent="0.25"/>
  <cols>
    <col min="1" max="1" width="3.7265625" style="200" bestFit="1" customWidth="1"/>
    <col min="2" max="2" width="62.453125" customWidth="1"/>
    <col min="3" max="3" width="6.7265625" customWidth="1"/>
    <col min="4" max="4" width="5.54296875" customWidth="1"/>
    <col min="5" max="7" width="10.26953125" bestFit="1" customWidth="1"/>
    <col min="8" max="8" width="9" customWidth="1"/>
    <col min="9" max="9" width="9.1796875" customWidth="1"/>
    <col min="10" max="10" width="9.26953125" customWidth="1"/>
    <col min="11" max="11" width="10" customWidth="1"/>
    <col min="12" max="12" width="11" customWidth="1"/>
    <col min="13" max="13" width="42.26953125" customWidth="1"/>
    <col min="220" max="220" width="3.7265625" bestFit="1" customWidth="1"/>
    <col min="221" max="221" width="52.81640625" customWidth="1"/>
    <col min="222" max="222" width="6.7265625" customWidth="1"/>
    <col min="223" max="223" width="5.54296875" customWidth="1"/>
    <col min="225" max="225" width="8.81640625" customWidth="1"/>
    <col min="227" max="227" width="9" customWidth="1"/>
    <col min="229" max="229" width="9.26953125" customWidth="1"/>
    <col min="230" max="230" width="10" customWidth="1"/>
    <col min="231" max="231" width="11" customWidth="1"/>
    <col min="476" max="476" width="3.7265625" bestFit="1" customWidth="1"/>
    <col min="477" max="477" width="52.81640625" customWidth="1"/>
    <col min="478" max="478" width="6.7265625" customWidth="1"/>
    <col min="479" max="479" width="5.54296875" customWidth="1"/>
    <col min="481" max="481" width="8.81640625" customWidth="1"/>
    <col min="483" max="483" width="9" customWidth="1"/>
    <col min="485" max="485" width="9.26953125" customWidth="1"/>
    <col min="486" max="486" width="10" customWidth="1"/>
    <col min="487" max="487" width="11" customWidth="1"/>
    <col min="732" max="732" width="3.7265625" bestFit="1" customWidth="1"/>
    <col min="733" max="733" width="52.81640625" customWidth="1"/>
    <col min="734" max="734" width="6.7265625" customWidth="1"/>
    <col min="735" max="735" width="5.54296875" customWidth="1"/>
    <col min="737" max="737" width="8.81640625" customWidth="1"/>
    <col min="739" max="739" width="9" customWidth="1"/>
    <col min="741" max="741" width="9.26953125" customWidth="1"/>
    <col min="742" max="742" width="10" customWidth="1"/>
    <col min="743" max="743" width="11" customWidth="1"/>
    <col min="988" max="988" width="3.7265625" bestFit="1" customWidth="1"/>
    <col min="989" max="989" width="52.81640625" customWidth="1"/>
    <col min="990" max="990" width="6.7265625" customWidth="1"/>
    <col min="991" max="991" width="5.54296875" customWidth="1"/>
    <col min="993" max="993" width="8.81640625" customWidth="1"/>
    <col min="995" max="995" width="9" customWidth="1"/>
    <col min="997" max="997" width="9.26953125" customWidth="1"/>
    <col min="998" max="998" width="10" customWidth="1"/>
    <col min="999" max="999" width="11" customWidth="1"/>
    <col min="1244" max="1244" width="3.7265625" bestFit="1" customWidth="1"/>
    <col min="1245" max="1245" width="52.81640625" customWidth="1"/>
    <col min="1246" max="1246" width="6.7265625" customWidth="1"/>
    <col min="1247" max="1247" width="5.54296875" customWidth="1"/>
    <col min="1249" max="1249" width="8.81640625" customWidth="1"/>
    <col min="1251" max="1251" width="9" customWidth="1"/>
    <col min="1253" max="1253" width="9.26953125" customWidth="1"/>
    <col min="1254" max="1254" width="10" customWidth="1"/>
    <col min="1255" max="1255" width="11" customWidth="1"/>
    <col min="1500" max="1500" width="3.7265625" bestFit="1" customWidth="1"/>
    <col min="1501" max="1501" width="52.81640625" customWidth="1"/>
    <col min="1502" max="1502" width="6.7265625" customWidth="1"/>
    <col min="1503" max="1503" width="5.54296875" customWidth="1"/>
    <col min="1505" max="1505" width="8.81640625" customWidth="1"/>
    <col min="1507" max="1507" width="9" customWidth="1"/>
    <col min="1509" max="1509" width="9.26953125" customWidth="1"/>
    <col min="1510" max="1510" width="10" customWidth="1"/>
    <col min="1511" max="1511" width="11" customWidth="1"/>
    <col min="1756" max="1756" width="3.7265625" bestFit="1" customWidth="1"/>
    <col min="1757" max="1757" width="52.81640625" customWidth="1"/>
    <col min="1758" max="1758" width="6.7265625" customWidth="1"/>
    <col min="1759" max="1759" width="5.54296875" customWidth="1"/>
    <col min="1761" max="1761" width="8.81640625" customWidth="1"/>
    <col min="1763" max="1763" width="9" customWidth="1"/>
    <col min="1765" max="1765" width="9.26953125" customWidth="1"/>
    <col min="1766" max="1766" width="10" customWidth="1"/>
    <col min="1767" max="1767" width="11" customWidth="1"/>
    <col min="2012" max="2012" width="3.7265625" bestFit="1" customWidth="1"/>
    <col min="2013" max="2013" width="52.81640625" customWidth="1"/>
    <col min="2014" max="2014" width="6.7265625" customWidth="1"/>
    <col min="2015" max="2015" width="5.54296875" customWidth="1"/>
    <col min="2017" max="2017" width="8.81640625" customWidth="1"/>
    <col min="2019" max="2019" width="9" customWidth="1"/>
    <col min="2021" max="2021" width="9.26953125" customWidth="1"/>
    <col min="2022" max="2022" width="10" customWidth="1"/>
    <col min="2023" max="2023" width="11" customWidth="1"/>
    <col min="2268" max="2268" width="3.7265625" bestFit="1" customWidth="1"/>
    <col min="2269" max="2269" width="52.81640625" customWidth="1"/>
    <col min="2270" max="2270" width="6.7265625" customWidth="1"/>
    <col min="2271" max="2271" width="5.54296875" customWidth="1"/>
    <col min="2273" max="2273" width="8.81640625" customWidth="1"/>
    <col min="2275" max="2275" width="9" customWidth="1"/>
    <col min="2277" max="2277" width="9.26953125" customWidth="1"/>
    <col min="2278" max="2278" width="10" customWidth="1"/>
    <col min="2279" max="2279" width="11" customWidth="1"/>
    <col min="2524" max="2524" width="3.7265625" bestFit="1" customWidth="1"/>
    <col min="2525" max="2525" width="52.81640625" customWidth="1"/>
    <col min="2526" max="2526" width="6.7265625" customWidth="1"/>
    <col min="2527" max="2527" width="5.54296875" customWidth="1"/>
    <col min="2529" max="2529" width="8.81640625" customWidth="1"/>
    <col min="2531" max="2531" width="9" customWidth="1"/>
    <col min="2533" max="2533" width="9.26953125" customWidth="1"/>
    <col min="2534" max="2534" width="10" customWidth="1"/>
    <col min="2535" max="2535" width="11" customWidth="1"/>
    <col min="2780" max="2780" width="3.7265625" bestFit="1" customWidth="1"/>
    <col min="2781" max="2781" width="52.81640625" customWidth="1"/>
    <col min="2782" max="2782" width="6.7265625" customWidth="1"/>
    <col min="2783" max="2783" width="5.54296875" customWidth="1"/>
    <col min="2785" max="2785" width="8.81640625" customWidth="1"/>
    <col min="2787" max="2787" width="9" customWidth="1"/>
    <col min="2789" max="2789" width="9.26953125" customWidth="1"/>
    <col min="2790" max="2790" width="10" customWidth="1"/>
    <col min="2791" max="2791" width="11" customWidth="1"/>
    <col min="3036" max="3036" width="3.7265625" bestFit="1" customWidth="1"/>
    <col min="3037" max="3037" width="52.81640625" customWidth="1"/>
    <col min="3038" max="3038" width="6.7265625" customWidth="1"/>
    <col min="3039" max="3039" width="5.54296875" customWidth="1"/>
    <col min="3041" max="3041" width="8.81640625" customWidth="1"/>
    <col min="3043" max="3043" width="9" customWidth="1"/>
    <col min="3045" max="3045" width="9.26953125" customWidth="1"/>
    <col min="3046" max="3046" width="10" customWidth="1"/>
    <col min="3047" max="3047" width="11" customWidth="1"/>
    <col min="3292" max="3292" width="3.7265625" bestFit="1" customWidth="1"/>
    <col min="3293" max="3293" width="52.81640625" customWidth="1"/>
    <col min="3294" max="3294" width="6.7265625" customWidth="1"/>
    <col min="3295" max="3295" width="5.54296875" customWidth="1"/>
    <col min="3297" max="3297" width="8.81640625" customWidth="1"/>
    <col min="3299" max="3299" width="9" customWidth="1"/>
    <col min="3301" max="3301" width="9.26953125" customWidth="1"/>
    <col min="3302" max="3302" width="10" customWidth="1"/>
    <col min="3303" max="3303" width="11" customWidth="1"/>
    <col min="3548" max="3548" width="3.7265625" bestFit="1" customWidth="1"/>
    <col min="3549" max="3549" width="52.81640625" customWidth="1"/>
    <col min="3550" max="3550" width="6.7265625" customWidth="1"/>
    <col min="3551" max="3551" width="5.54296875" customWidth="1"/>
    <col min="3553" max="3553" width="8.81640625" customWidth="1"/>
    <col min="3555" max="3555" width="9" customWidth="1"/>
    <col min="3557" max="3557" width="9.26953125" customWidth="1"/>
    <col min="3558" max="3558" width="10" customWidth="1"/>
    <col min="3559" max="3559" width="11" customWidth="1"/>
    <col min="3804" max="3804" width="3.7265625" bestFit="1" customWidth="1"/>
    <col min="3805" max="3805" width="52.81640625" customWidth="1"/>
    <col min="3806" max="3806" width="6.7265625" customWidth="1"/>
    <col min="3807" max="3807" width="5.54296875" customWidth="1"/>
    <col min="3809" max="3809" width="8.81640625" customWidth="1"/>
    <col min="3811" max="3811" width="9" customWidth="1"/>
    <col min="3813" max="3813" width="9.26953125" customWidth="1"/>
    <col min="3814" max="3814" width="10" customWidth="1"/>
    <col min="3815" max="3815" width="11" customWidth="1"/>
    <col min="4060" max="4060" width="3.7265625" bestFit="1" customWidth="1"/>
    <col min="4061" max="4061" width="52.81640625" customWidth="1"/>
    <col min="4062" max="4062" width="6.7265625" customWidth="1"/>
    <col min="4063" max="4063" width="5.54296875" customWidth="1"/>
    <col min="4065" max="4065" width="8.81640625" customWidth="1"/>
    <col min="4067" max="4067" width="9" customWidth="1"/>
    <col min="4069" max="4069" width="9.26953125" customWidth="1"/>
    <col min="4070" max="4070" width="10" customWidth="1"/>
    <col min="4071" max="4071" width="11" customWidth="1"/>
    <col min="4316" max="4316" width="3.7265625" bestFit="1" customWidth="1"/>
    <col min="4317" max="4317" width="52.81640625" customWidth="1"/>
    <col min="4318" max="4318" width="6.7265625" customWidth="1"/>
    <col min="4319" max="4319" width="5.54296875" customWidth="1"/>
    <col min="4321" max="4321" width="8.81640625" customWidth="1"/>
    <col min="4323" max="4323" width="9" customWidth="1"/>
    <col min="4325" max="4325" width="9.26953125" customWidth="1"/>
    <col min="4326" max="4326" width="10" customWidth="1"/>
    <col min="4327" max="4327" width="11" customWidth="1"/>
    <col min="4572" max="4572" width="3.7265625" bestFit="1" customWidth="1"/>
    <col min="4573" max="4573" width="52.81640625" customWidth="1"/>
    <col min="4574" max="4574" width="6.7265625" customWidth="1"/>
    <col min="4575" max="4575" width="5.54296875" customWidth="1"/>
    <col min="4577" max="4577" width="8.81640625" customWidth="1"/>
    <col min="4579" max="4579" width="9" customWidth="1"/>
    <col min="4581" max="4581" width="9.26953125" customWidth="1"/>
    <col min="4582" max="4582" width="10" customWidth="1"/>
    <col min="4583" max="4583" width="11" customWidth="1"/>
    <col min="4828" max="4828" width="3.7265625" bestFit="1" customWidth="1"/>
    <col min="4829" max="4829" width="52.81640625" customWidth="1"/>
    <col min="4830" max="4830" width="6.7265625" customWidth="1"/>
    <col min="4831" max="4831" width="5.54296875" customWidth="1"/>
    <col min="4833" max="4833" width="8.81640625" customWidth="1"/>
    <col min="4835" max="4835" width="9" customWidth="1"/>
    <col min="4837" max="4837" width="9.26953125" customWidth="1"/>
    <col min="4838" max="4838" width="10" customWidth="1"/>
    <col min="4839" max="4839" width="11" customWidth="1"/>
    <col min="5084" max="5084" width="3.7265625" bestFit="1" customWidth="1"/>
    <col min="5085" max="5085" width="52.81640625" customWidth="1"/>
    <col min="5086" max="5086" width="6.7265625" customWidth="1"/>
    <col min="5087" max="5087" width="5.54296875" customWidth="1"/>
    <col min="5089" max="5089" width="8.81640625" customWidth="1"/>
    <col min="5091" max="5091" width="9" customWidth="1"/>
    <col min="5093" max="5093" width="9.26953125" customWidth="1"/>
    <col min="5094" max="5094" width="10" customWidth="1"/>
    <col min="5095" max="5095" width="11" customWidth="1"/>
    <col min="5340" max="5340" width="3.7265625" bestFit="1" customWidth="1"/>
    <col min="5341" max="5341" width="52.81640625" customWidth="1"/>
    <col min="5342" max="5342" width="6.7265625" customWidth="1"/>
    <col min="5343" max="5343" width="5.54296875" customWidth="1"/>
    <col min="5345" max="5345" width="8.81640625" customWidth="1"/>
    <col min="5347" max="5347" width="9" customWidth="1"/>
    <col min="5349" max="5349" width="9.26953125" customWidth="1"/>
    <col min="5350" max="5350" width="10" customWidth="1"/>
    <col min="5351" max="5351" width="11" customWidth="1"/>
    <col min="5596" max="5596" width="3.7265625" bestFit="1" customWidth="1"/>
    <col min="5597" max="5597" width="52.81640625" customWidth="1"/>
    <col min="5598" max="5598" width="6.7265625" customWidth="1"/>
    <col min="5599" max="5599" width="5.54296875" customWidth="1"/>
    <col min="5601" max="5601" width="8.81640625" customWidth="1"/>
    <col min="5603" max="5603" width="9" customWidth="1"/>
    <col min="5605" max="5605" width="9.26953125" customWidth="1"/>
    <col min="5606" max="5606" width="10" customWidth="1"/>
    <col min="5607" max="5607" width="11" customWidth="1"/>
    <col min="5852" max="5852" width="3.7265625" bestFit="1" customWidth="1"/>
    <col min="5853" max="5853" width="52.81640625" customWidth="1"/>
    <col min="5854" max="5854" width="6.7265625" customWidth="1"/>
    <col min="5855" max="5855" width="5.54296875" customWidth="1"/>
    <col min="5857" max="5857" width="8.81640625" customWidth="1"/>
    <col min="5859" max="5859" width="9" customWidth="1"/>
    <col min="5861" max="5861" width="9.26953125" customWidth="1"/>
    <col min="5862" max="5862" width="10" customWidth="1"/>
    <col min="5863" max="5863" width="11" customWidth="1"/>
    <col min="6108" max="6108" width="3.7265625" bestFit="1" customWidth="1"/>
    <col min="6109" max="6109" width="52.81640625" customWidth="1"/>
    <col min="6110" max="6110" width="6.7265625" customWidth="1"/>
    <col min="6111" max="6111" width="5.54296875" customWidth="1"/>
    <col min="6113" max="6113" width="8.81640625" customWidth="1"/>
    <col min="6115" max="6115" width="9" customWidth="1"/>
    <col min="6117" max="6117" width="9.26953125" customWidth="1"/>
    <col min="6118" max="6118" width="10" customWidth="1"/>
    <col min="6119" max="6119" width="11" customWidth="1"/>
    <col min="6364" max="6364" width="3.7265625" bestFit="1" customWidth="1"/>
    <col min="6365" max="6365" width="52.81640625" customWidth="1"/>
    <col min="6366" max="6366" width="6.7265625" customWidth="1"/>
    <col min="6367" max="6367" width="5.54296875" customWidth="1"/>
    <col min="6369" max="6369" width="8.81640625" customWidth="1"/>
    <col min="6371" max="6371" width="9" customWidth="1"/>
    <col min="6373" max="6373" width="9.26953125" customWidth="1"/>
    <col min="6374" max="6374" width="10" customWidth="1"/>
    <col min="6375" max="6375" width="11" customWidth="1"/>
    <col min="6620" max="6620" width="3.7265625" bestFit="1" customWidth="1"/>
    <col min="6621" max="6621" width="52.81640625" customWidth="1"/>
    <col min="6622" max="6622" width="6.7265625" customWidth="1"/>
    <col min="6623" max="6623" width="5.54296875" customWidth="1"/>
    <col min="6625" max="6625" width="8.81640625" customWidth="1"/>
    <col min="6627" max="6627" width="9" customWidth="1"/>
    <col min="6629" max="6629" width="9.26953125" customWidth="1"/>
    <col min="6630" max="6630" width="10" customWidth="1"/>
    <col min="6631" max="6631" width="11" customWidth="1"/>
    <col min="6876" max="6876" width="3.7265625" bestFit="1" customWidth="1"/>
    <col min="6877" max="6877" width="52.81640625" customWidth="1"/>
    <col min="6878" max="6878" width="6.7265625" customWidth="1"/>
    <col min="6879" max="6879" width="5.54296875" customWidth="1"/>
    <col min="6881" max="6881" width="8.81640625" customWidth="1"/>
    <col min="6883" max="6883" width="9" customWidth="1"/>
    <col min="6885" max="6885" width="9.26953125" customWidth="1"/>
    <col min="6886" max="6886" width="10" customWidth="1"/>
    <col min="6887" max="6887" width="11" customWidth="1"/>
    <col min="7132" max="7132" width="3.7265625" bestFit="1" customWidth="1"/>
    <col min="7133" max="7133" width="52.81640625" customWidth="1"/>
    <col min="7134" max="7134" width="6.7265625" customWidth="1"/>
    <col min="7135" max="7135" width="5.54296875" customWidth="1"/>
    <col min="7137" max="7137" width="8.81640625" customWidth="1"/>
    <col min="7139" max="7139" width="9" customWidth="1"/>
    <col min="7141" max="7141" width="9.26953125" customWidth="1"/>
    <col min="7142" max="7142" width="10" customWidth="1"/>
    <col min="7143" max="7143" width="11" customWidth="1"/>
    <col min="7388" max="7388" width="3.7265625" bestFit="1" customWidth="1"/>
    <col min="7389" max="7389" width="52.81640625" customWidth="1"/>
    <col min="7390" max="7390" width="6.7265625" customWidth="1"/>
    <col min="7391" max="7391" width="5.54296875" customWidth="1"/>
    <col min="7393" max="7393" width="8.81640625" customWidth="1"/>
    <col min="7395" max="7395" width="9" customWidth="1"/>
    <col min="7397" max="7397" width="9.26953125" customWidth="1"/>
    <col min="7398" max="7398" width="10" customWidth="1"/>
    <col min="7399" max="7399" width="11" customWidth="1"/>
    <col min="7644" max="7644" width="3.7265625" bestFit="1" customWidth="1"/>
    <col min="7645" max="7645" width="52.81640625" customWidth="1"/>
    <col min="7646" max="7646" width="6.7265625" customWidth="1"/>
    <col min="7647" max="7647" width="5.54296875" customWidth="1"/>
    <col min="7649" max="7649" width="8.81640625" customWidth="1"/>
    <col min="7651" max="7651" width="9" customWidth="1"/>
    <col min="7653" max="7653" width="9.26953125" customWidth="1"/>
    <col min="7654" max="7654" width="10" customWidth="1"/>
    <col min="7655" max="7655" width="11" customWidth="1"/>
    <col min="7900" max="7900" width="3.7265625" bestFit="1" customWidth="1"/>
    <col min="7901" max="7901" width="52.81640625" customWidth="1"/>
    <col min="7902" max="7902" width="6.7265625" customWidth="1"/>
    <col min="7903" max="7903" width="5.54296875" customWidth="1"/>
    <col min="7905" max="7905" width="8.81640625" customWidth="1"/>
    <col min="7907" max="7907" width="9" customWidth="1"/>
    <col min="7909" max="7909" width="9.26953125" customWidth="1"/>
    <col min="7910" max="7910" width="10" customWidth="1"/>
    <col min="7911" max="7911" width="11" customWidth="1"/>
    <col min="8156" max="8156" width="3.7265625" bestFit="1" customWidth="1"/>
    <col min="8157" max="8157" width="52.81640625" customWidth="1"/>
    <col min="8158" max="8158" width="6.7265625" customWidth="1"/>
    <col min="8159" max="8159" width="5.54296875" customWidth="1"/>
    <col min="8161" max="8161" width="8.81640625" customWidth="1"/>
    <col min="8163" max="8163" width="9" customWidth="1"/>
    <col min="8165" max="8165" width="9.26953125" customWidth="1"/>
    <col min="8166" max="8166" width="10" customWidth="1"/>
    <col min="8167" max="8167" width="11" customWidth="1"/>
    <col min="8412" max="8412" width="3.7265625" bestFit="1" customWidth="1"/>
    <col min="8413" max="8413" width="52.81640625" customWidth="1"/>
    <col min="8414" max="8414" width="6.7265625" customWidth="1"/>
    <col min="8415" max="8415" width="5.54296875" customWidth="1"/>
    <col min="8417" max="8417" width="8.81640625" customWidth="1"/>
    <col min="8419" max="8419" width="9" customWidth="1"/>
    <col min="8421" max="8421" width="9.26953125" customWidth="1"/>
    <col min="8422" max="8422" width="10" customWidth="1"/>
    <col min="8423" max="8423" width="11" customWidth="1"/>
    <col min="8668" max="8668" width="3.7265625" bestFit="1" customWidth="1"/>
    <col min="8669" max="8669" width="52.81640625" customWidth="1"/>
    <col min="8670" max="8670" width="6.7265625" customWidth="1"/>
    <col min="8671" max="8671" width="5.54296875" customWidth="1"/>
    <col min="8673" max="8673" width="8.81640625" customWidth="1"/>
    <col min="8675" max="8675" width="9" customWidth="1"/>
    <col min="8677" max="8677" width="9.26953125" customWidth="1"/>
    <col min="8678" max="8678" width="10" customWidth="1"/>
    <col min="8679" max="8679" width="11" customWidth="1"/>
    <col min="8924" max="8924" width="3.7265625" bestFit="1" customWidth="1"/>
    <col min="8925" max="8925" width="52.81640625" customWidth="1"/>
    <col min="8926" max="8926" width="6.7265625" customWidth="1"/>
    <col min="8927" max="8927" width="5.54296875" customWidth="1"/>
    <col min="8929" max="8929" width="8.81640625" customWidth="1"/>
    <col min="8931" max="8931" width="9" customWidth="1"/>
    <col min="8933" max="8933" width="9.26953125" customWidth="1"/>
    <col min="8934" max="8934" width="10" customWidth="1"/>
    <col min="8935" max="8935" width="11" customWidth="1"/>
    <col min="9180" max="9180" width="3.7265625" bestFit="1" customWidth="1"/>
    <col min="9181" max="9181" width="52.81640625" customWidth="1"/>
    <col min="9182" max="9182" width="6.7265625" customWidth="1"/>
    <col min="9183" max="9183" width="5.54296875" customWidth="1"/>
    <col min="9185" max="9185" width="8.81640625" customWidth="1"/>
    <col min="9187" max="9187" width="9" customWidth="1"/>
    <col min="9189" max="9189" width="9.26953125" customWidth="1"/>
    <col min="9190" max="9190" width="10" customWidth="1"/>
    <col min="9191" max="9191" width="11" customWidth="1"/>
    <col min="9436" max="9436" width="3.7265625" bestFit="1" customWidth="1"/>
    <col min="9437" max="9437" width="52.81640625" customWidth="1"/>
    <col min="9438" max="9438" width="6.7265625" customWidth="1"/>
    <col min="9439" max="9439" width="5.54296875" customWidth="1"/>
    <col min="9441" max="9441" width="8.81640625" customWidth="1"/>
    <col min="9443" max="9443" width="9" customWidth="1"/>
    <col min="9445" max="9445" width="9.26953125" customWidth="1"/>
    <col min="9446" max="9446" width="10" customWidth="1"/>
    <col min="9447" max="9447" width="11" customWidth="1"/>
    <col min="9692" max="9692" width="3.7265625" bestFit="1" customWidth="1"/>
    <col min="9693" max="9693" width="52.81640625" customWidth="1"/>
    <col min="9694" max="9694" width="6.7265625" customWidth="1"/>
    <col min="9695" max="9695" width="5.54296875" customWidth="1"/>
    <col min="9697" max="9697" width="8.81640625" customWidth="1"/>
    <col min="9699" max="9699" width="9" customWidth="1"/>
    <col min="9701" max="9701" width="9.26953125" customWidth="1"/>
    <col min="9702" max="9702" width="10" customWidth="1"/>
    <col min="9703" max="9703" width="11" customWidth="1"/>
    <col min="9948" max="9948" width="3.7265625" bestFit="1" customWidth="1"/>
    <col min="9949" max="9949" width="52.81640625" customWidth="1"/>
    <col min="9950" max="9950" width="6.7265625" customWidth="1"/>
    <col min="9951" max="9951" width="5.54296875" customWidth="1"/>
    <col min="9953" max="9953" width="8.81640625" customWidth="1"/>
    <col min="9955" max="9955" width="9" customWidth="1"/>
    <col min="9957" max="9957" width="9.26953125" customWidth="1"/>
    <col min="9958" max="9958" width="10" customWidth="1"/>
    <col min="9959" max="9959" width="11" customWidth="1"/>
    <col min="10204" max="10204" width="3.7265625" bestFit="1" customWidth="1"/>
    <col min="10205" max="10205" width="52.81640625" customWidth="1"/>
    <col min="10206" max="10206" width="6.7265625" customWidth="1"/>
    <col min="10207" max="10207" width="5.54296875" customWidth="1"/>
    <col min="10209" max="10209" width="8.81640625" customWidth="1"/>
    <col min="10211" max="10211" width="9" customWidth="1"/>
    <col min="10213" max="10213" width="9.26953125" customWidth="1"/>
    <col min="10214" max="10214" width="10" customWidth="1"/>
    <col min="10215" max="10215" width="11" customWidth="1"/>
    <col min="10460" max="10460" width="3.7265625" bestFit="1" customWidth="1"/>
    <col min="10461" max="10461" width="52.81640625" customWidth="1"/>
    <col min="10462" max="10462" width="6.7265625" customWidth="1"/>
    <col min="10463" max="10463" width="5.54296875" customWidth="1"/>
    <col min="10465" max="10465" width="8.81640625" customWidth="1"/>
    <col min="10467" max="10467" width="9" customWidth="1"/>
    <col min="10469" max="10469" width="9.26953125" customWidth="1"/>
    <col min="10470" max="10470" width="10" customWidth="1"/>
    <col min="10471" max="10471" width="11" customWidth="1"/>
    <col min="10716" max="10716" width="3.7265625" bestFit="1" customWidth="1"/>
    <col min="10717" max="10717" width="52.81640625" customWidth="1"/>
    <col min="10718" max="10718" width="6.7265625" customWidth="1"/>
    <col min="10719" max="10719" width="5.54296875" customWidth="1"/>
    <col min="10721" max="10721" width="8.81640625" customWidth="1"/>
    <col min="10723" max="10723" width="9" customWidth="1"/>
    <col min="10725" max="10725" width="9.26953125" customWidth="1"/>
    <col min="10726" max="10726" width="10" customWidth="1"/>
    <col min="10727" max="10727" width="11" customWidth="1"/>
    <col min="10972" max="10972" width="3.7265625" bestFit="1" customWidth="1"/>
    <col min="10973" max="10973" width="52.81640625" customWidth="1"/>
    <col min="10974" max="10974" width="6.7265625" customWidth="1"/>
    <col min="10975" max="10975" width="5.54296875" customWidth="1"/>
    <col min="10977" max="10977" width="8.81640625" customWidth="1"/>
    <col min="10979" max="10979" width="9" customWidth="1"/>
    <col min="10981" max="10981" width="9.26953125" customWidth="1"/>
    <col min="10982" max="10982" width="10" customWidth="1"/>
    <col min="10983" max="10983" width="11" customWidth="1"/>
    <col min="11228" max="11228" width="3.7265625" bestFit="1" customWidth="1"/>
    <col min="11229" max="11229" width="52.81640625" customWidth="1"/>
    <col min="11230" max="11230" width="6.7265625" customWidth="1"/>
    <col min="11231" max="11231" width="5.54296875" customWidth="1"/>
    <col min="11233" max="11233" width="8.81640625" customWidth="1"/>
    <col min="11235" max="11235" width="9" customWidth="1"/>
    <col min="11237" max="11237" width="9.26953125" customWidth="1"/>
    <col min="11238" max="11238" width="10" customWidth="1"/>
    <col min="11239" max="11239" width="11" customWidth="1"/>
    <col min="11484" max="11484" width="3.7265625" bestFit="1" customWidth="1"/>
    <col min="11485" max="11485" width="52.81640625" customWidth="1"/>
    <col min="11486" max="11486" width="6.7265625" customWidth="1"/>
    <col min="11487" max="11487" width="5.54296875" customWidth="1"/>
    <col min="11489" max="11489" width="8.81640625" customWidth="1"/>
    <col min="11491" max="11491" width="9" customWidth="1"/>
    <col min="11493" max="11493" width="9.26953125" customWidth="1"/>
    <col min="11494" max="11494" width="10" customWidth="1"/>
    <col min="11495" max="11495" width="11" customWidth="1"/>
    <col min="11740" max="11740" width="3.7265625" bestFit="1" customWidth="1"/>
    <col min="11741" max="11741" width="52.81640625" customWidth="1"/>
    <col min="11742" max="11742" width="6.7265625" customWidth="1"/>
    <col min="11743" max="11743" width="5.54296875" customWidth="1"/>
    <col min="11745" max="11745" width="8.81640625" customWidth="1"/>
    <col min="11747" max="11747" width="9" customWidth="1"/>
    <col min="11749" max="11749" width="9.26953125" customWidth="1"/>
    <col min="11750" max="11750" width="10" customWidth="1"/>
    <col min="11751" max="11751" width="11" customWidth="1"/>
    <col min="11996" max="11996" width="3.7265625" bestFit="1" customWidth="1"/>
    <col min="11997" max="11997" width="52.81640625" customWidth="1"/>
    <col min="11998" max="11998" width="6.7265625" customWidth="1"/>
    <col min="11999" max="11999" width="5.54296875" customWidth="1"/>
    <col min="12001" max="12001" width="8.81640625" customWidth="1"/>
    <col min="12003" max="12003" width="9" customWidth="1"/>
    <col min="12005" max="12005" width="9.26953125" customWidth="1"/>
    <col min="12006" max="12006" width="10" customWidth="1"/>
    <col min="12007" max="12007" width="11" customWidth="1"/>
    <col min="12252" max="12252" width="3.7265625" bestFit="1" customWidth="1"/>
    <col min="12253" max="12253" width="52.81640625" customWidth="1"/>
    <col min="12254" max="12254" width="6.7265625" customWidth="1"/>
    <col min="12255" max="12255" width="5.54296875" customWidth="1"/>
    <col min="12257" max="12257" width="8.81640625" customWidth="1"/>
    <col min="12259" max="12259" width="9" customWidth="1"/>
    <col min="12261" max="12261" width="9.26953125" customWidth="1"/>
    <col min="12262" max="12262" width="10" customWidth="1"/>
    <col min="12263" max="12263" width="11" customWidth="1"/>
    <col min="12508" max="12508" width="3.7265625" bestFit="1" customWidth="1"/>
    <col min="12509" max="12509" width="52.81640625" customWidth="1"/>
    <col min="12510" max="12510" width="6.7265625" customWidth="1"/>
    <col min="12511" max="12511" width="5.54296875" customWidth="1"/>
    <col min="12513" max="12513" width="8.81640625" customWidth="1"/>
    <col min="12515" max="12515" width="9" customWidth="1"/>
    <col min="12517" max="12517" width="9.26953125" customWidth="1"/>
    <col min="12518" max="12518" width="10" customWidth="1"/>
    <col min="12519" max="12519" width="11" customWidth="1"/>
    <col min="12764" max="12764" width="3.7265625" bestFit="1" customWidth="1"/>
    <col min="12765" max="12765" width="52.81640625" customWidth="1"/>
    <col min="12766" max="12766" width="6.7265625" customWidth="1"/>
    <col min="12767" max="12767" width="5.54296875" customWidth="1"/>
    <col min="12769" max="12769" width="8.81640625" customWidth="1"/>
    <col min="12771" max="12771" width="9" customWidth="1"/>
    <col min="12773" max="12773" width="9.26953125" customWidth="1"/>
    <col min="12774" max="12774" width="10" customWidth="1"/>
    <col min="12775" max="12775" width="11" customWidth="1"/>
    <col min="13020" max="13020" width="3.7265625" bestFit="1" customWidth="1"/>
    <col min="13021" max="13021" width="52.81640625" customWidth="1"/>
    <col min="13022" max="13022" width="6.7265625" customWidth="1"/>
    <col min="13023" max="13023" width="5.54296875" customWidth="1"/>
    <col min="13025" max="13025" width="8.81640625" customWidth="1"/>
    <col min="13027" max="13027" width="9" customWidth="1"/>
    <col min="13029" max="13029" width="9.26953125" customWidth="1"/>
    <col min="13030" max="13030" width="10" customWidth="1"/>
    <col min="13031" max="13031" width="11" customWidth="1"/>
    <col min="13276" max="13276" width="3.7265625" bestFit="1" customWidth="1"/>
    <col min="13277" max="13277" width="52.81640625" customWidth="1"/>
    <col min="13278" max="13278" width="6.7265625" customWidth="1"/>
    <col min="13279" max="13279" width="5.54296875" customWidth="1"/>
    <col min="13281" max="13281" width="8.81640625" customWidth="1"/>
    <col min="13283" max="13283" width="9" customWidth="1"/>
    <col min="13285" max="13285" width="9.26953125" customWidth="1"/>
    <col min="13286" max="13286" width="10" customWidth="1"/>
    <col min="13287" max="13287" width="11" customWidth="1"/>
    <col min="13532" max="13532" width="3.7265625" bestFit="1" customWidth="1"/>
    <col min="13533" max="13533" width="52.81640625" customWidth="1"/>
    <col min="13534" max="13534" width="6.7265625" customWidth="1"/>
    <col min="13535" max="13535" width="5.54296875" customWidth="1"/>
    <col min="13537" max="13537" width="8.81640625" customWidth="1"/>
    <col min="13539" max="13539" width="9" customWidth="1"/>
    <col min="13541" max="13541" width="9.26953125" customWidth="1"/>
    <col min="13542" max="13542" width="10" customWidth="1"/>
    <col min="13543" max="13543" width="11" customWidth="1"/>
    <col min="13788" max="13788" width="3.7265625" bestFit="1" customWidth="1"/>
    <col min="13789" max="13789" width="52.81640625" customWidth="1"/>
    <col min="13790" max="13790" width="6.7265625" customWidth="1"/>
    <col min="13791" max="13791" width="5.54296875" customWidth="1"/>
    <col min="13793" max="13793" width="8.81640625" customWidth="1"/>
    <col min="13795" max="13795" width="9" customWidth="1"/>
    <col min="13797" max="13797" width="9.26953125" customWidth="1"/>
    <col min="13798" max="13798" width="10" customWidth="1"/>
    <col min="13799" max="13799" width="11" customWidth="1"/>
    <col min="14044" max="14044" width="3.7265625" bestFit="1" customWidth="1"/>
    <col min="14045" max="14045" width="52.81640625" customWidth="1"/>
    <col min="14046" max="14046" width="6.7265625" customWidth="1"/>
    <col min="14047" max="14047" width="5.54296875" customWidth="1"/>
    <col min="14049" max="14049" width="8.81640625" customWidth="1"/>
    <col min="14051" max="14051" width="9" customWidth="1"/>
    <col min="14053" max="14053" width="9.26953125" customWidth="1"/>
    <col min="14054" max="14054" width="10" customWidth="1"/>
    <col min="14055" max="14055" width="11" customWidth="1"/>
    <col min="14300" max="14300" width="3.7265625" bestFit="1" customWidth="1"/>
    <col min="14301" max="14301" width="52.81640625" customWidth="1"/>
    <col min="14302" max="14302" width="6.7265625" customWidth="1"/>
    <col min="14303" max="14303" width="5.54296875" customWidth="1"/>
    <col min="14305" max="14305" width="8.81640625" customWidth="1"/>
    <col min="14307" max="14307" width="9" customWidth="1"/>
    <col min="14309" max="14309" width="9.26953125" customWidth="1"/>
    <col min="14310" max="14310" width="10" customWidth="1"/>
    <col min="14311" max="14311" width="11" customWidth="1"/>
    <col min="14556" max="14556" width="3.7265625" bestFit="1" customWidth="1"/>
    <col min="14557" max="14557" width="52.81640625" customWidth="1"/>
    <col min="14558" max="14558" width="6.7265625" customWidth="1"/>
    <col min="14559" max="14559" width="5.54296875" customWidth="1"/>
    <col min="14561" max="14561" width="8.81640625" customWidth="1"/>
    <col min="14563" max="14563" width="9" customWidth="1"/>
    <col min="14565" max="14565" width="9.26953125" customWidth="1"/>
    <col min="14566" max="14566" width="10" customWidth="1"/>
    <col min="14567" max="14567" width="11" customWidth="1"/>
    <col min="14812" max="14812" width="3.7265625" bestFit="1" customWidth="1"/>
    <col min="14813" max="14813" width="52.81640625" customWidth="1"/>
    <col min="14814" max="14814" width="6.7265625" customWidth="1"/>
    <col min="14815" max="14815" width="5.54296875" customWidth="1"/>
    <col min="14817" max="14817" width="8.81640625" customWidth="1"/>
    <col min="14819" max="14819" width="9" customWidth="1"/>
    <col min="14821" max="14821" width="9.26953125" customWidth="1"/>
    <col min="14822" max="14822" width="10" customWidth="1"/>
    <col min="14823" max="14823" width="11" customWidth="1"/>
    <col min="15068" max="15068" width="3.7265625" bestFit="1" customWidth="1"/>
    <col min="15069" max="15069" width="52.81640625" customWidth="1"/>
    <col min="15070" max="15070" width="6.7265625" customWidth="1"/>
    <col min="15071" max="15071" width="5.54296875" customWidth="1"/>
    <col min="15073" max="15073" width="8.81640625" customWidth="1"/>
    <col min="15075" max="15075" width="9" customWidth="1"/>
    <col min="15077" max="15077" width="9.26953125" customWidth="1"/>
    <col min="15078" max="15078" width="10" customWidth="1"/>
    <col min="15079" max="15079" width="11" customWidth="1"/>
    <col min="15324" max="15324" width="3.7265625" bestFit="1" customWidth="1"/>
    <col min="15325" max="15325" width="52.81640625" customWidth="1"/>
    <col min="15326" max="15326" width="6.7265625" customWidth="1"/>
    <col min="15327" max="15327" width="5.54296875" customWidth="1"/>
    <col min="15329" max="15329" width="8.81640625" customWidth="1"/>
    <col min="15331" max="15331" width="9" customWidth="1"/>
    <col min="15333" max="15333" width="9.26953125" customWidth="1"/>
    <col min="15334" max="15334" width="10" customWidth="1"/>
    <col min="15335" max="15335" width="11" customWidth="1"/>
    <col min="15580" max="15580" width="3.7265625" bestFit="1" customWidth="1"/>
    <col min="15581" max="15581" width="52.81640625" customWidth="1"/>
    <col min="15582" max="15582" width="6.7265625" customWidth="1"/>
    <col min="15583" max="15583" width="5.54296875" customWidth="1"/>
    <col min="15585" max="15585" width="8.81640625" customWidth="1"/>
    <col min="15587" max="15587" width="9" customWidth="1"/>
    <col min="15589" max="15589" width="9.26953125" customWidth="1"/>
    <col min="15590" max="15590" width="10" customWidth="1"/>
    <col min="15591" max="15591" width="11" customWidth="1"/>
    <col min="15836" max="15836" width="3.7265625" bestFit="1" customWidth="1"/>
    <col min="15837" max="15837" width="52.81640625" customWidth="1"/>
    <col min="15838" max="15838" width="6.7265625" customWidth="1"/>
    <col min="15839" max="15839" width="5.54296875" customWidth="1"/>
    <col min="15841" max="15841" width="8.81640625" customWidth="1"/>
    <col min="15843" max="15843" width="9" customWidth="1"/>
    <col min="15845" max="15845" width="9.26953125" customWidth="1"/>
    <col min="15846" max="15846" width="10" customWidth="1"/>
    <col min="15847" max="15847" width="11" customWidth="1"/>
    <col min="16092" max="16092" width="3.7265625" bestFit="1" customWidth="1"/>
    <col min="16093" max="16093" width="52.81640625" customWidth="1"/>
    <col min="16094" max="16094" width="6.7265625" customWidth="1"/>
    <col min="16095" max="16095" width="5.54296875" customWidth="1"/>
    <col min="16097" max="16097" width="8.81640625" customWidth="1"/>
    <col min="16099" max="16099" width="9" customWidth="1"/>
    <col min="16101" max="16101" width="9.26953125" customWidth="1"/>
    <col min="16102" max="16102" width="10" customWidth="1"/>
    <col min="16103" max="16103" width="11" customWidth="1"/>
  </cols>
  <sheetData>
    <row r="1" spans="1:13" ht="13" customHeight="1" thickBot="1" x14ac:dyDescent="0.3">
      <c r="A1" s="584" t="s">
        <v>275</v>
      </c>
      <c r="B1" s="585"/>
      <c r="C1" s="585"/>
      <c r="D1" s="585"/>
      <c r="E1" s="585"/>
      <c r="F1" s="585"/>
      <c r="G1" s="585"/>
      <c r="H1" s="585"/>
      <c r="I1" s="585"/>
      <c r="J1" s="585"/>
      <c r="K1" s="585"/>
      <c r="L1" s="586"/>
    </row>
    <row r="2" spans="1:13" ht="13" customHeight="1" x14ac:dyDescent="0.25">
      <c r="A2" s="233" t="s">
        <v>40</v>
      </c>
      <c r="B2" s="597" t="s">
        <v>276</v>
      </c>
      <c r="C2" s="597"/>
      <c r="D2" s="597"/>
      <c r="E2" s="262" t="s">
        <v>277</v>
      </c>
      <c r="F2" s="598"/>
      <c r="G2" s="587"/>
      <c r="H2" s="587"/>
      <c r="I2" s="587"/>
      <c r="J2" s="262" t="s">
        <v>278</v>
      </c>
      <c r="K2" s="587"/>
      <c r="L2" s="588"/>
    </row>
    <row r="3" spans="1:13" ht="13" customHeight="1" x14ac:dyDescent="0.25">
      <c r="A3" s="235" t="s">
        <v>42</v>
      </c>
      <c r="B3" s="593" t="s">
        <v>279</v>
      </c>
      <c r="C3" s="593"/>
      <c r="D3" s="593"/>
      <c r="E3" s="186" t="s">
        <v>277</v>
      </c>
      <c r="F3" s="595"/>
      <c r="G3" s="599"/>
      <c r="H3" s="599"/>
      <c r="I3" s="599"/>
      <c r="J3" s="186" t="s">
        <v>278</v>
      </c>
      <c r="K3" s="589" t="s">
        <v>280</v>
      </c>
      <c r="L3" s="590"/>
    </row>
    <row r="4" spans="1:13" ht="13" customHeight="1" x14ac:dyDescent="0.25">
      <c r="A4" s="237" t="s">
        <v>45</v>
      </c>
      <c r="B4" s="591" t="s">
        <v>281</v>
      </c>
      <c r="C4" s="591"/>
      <c r="D4" s="591"/>
      <c r="E4" s="187" t="s">
        <v>277</v>
      </c>
      <c r="F4" s="596"/>
      <c r="G4" s="591"/>
      <c r="H4" s="591"/>
      <c r="I4" s="591"/>
      <c r="J4" s="187" t="s">
        <v>278</v>
      </c>
      <c r="K4" s="591"/>
      <c r="L4" s="592"/>
    </row>
    <row r="5" spans="1:13" ht="13" customHeight="1" x14ac:dyDescent="0.25">
      <c r="A5" s="235" t="s">
        <v>48</v>
      </c>
      <c r="B5" s="593" t="s">
        <v>282</v>
      </c>
      <c r="C5" s="593"/>
      <c r="D5" s="593"/>
      <c r="E5" s="186" t="s">
        <v>277</v>
      </c>
      <c r="F5" s="595"/>
      <c r="G5" s="589"/>
      <c r="H5" s="589"/>
      <c r="I5" s="589"/>
      <c r="J5" s="186" t="s">
        <v>278</v>
      </c>
      <c r="K5" s="593"/>
      <c r="L5" s="594"/>
    </row>
    <row r="6" spans="1:13" ht="13" x14ac:dyDescent="0.25">
      <c r="A6" s="239" t="s">
        <v>84</v>
      </c>
      <c r="B6" s="628"/>
      <c r="C6" s="628"/>
      <c r="D6" s="628"/>
      <c r="E6" s="240"/>
      <c r="F6" s="629"/>
      <c r="G6" s="630"/>
      <c r="H6" s="630"/>
      <c r="I6" s="630"/>
      <c r="J6" s="240"/>
      <c r="K6" s="600"/>
      <c r="L6" s="601"/>
    </row>
    <row r="7" spans="1:13" ht="13.5" thickBot="1" x14ac:dyDescent="0.3">
      <c r="A7" s="241" t="s">
        <v>86</v>
      </c>
      <c r="B7" s="625"/>
      <c r="C7" s="625"/>
      <c r="D7" s="625"/>
      <c r="E7" s="242"/>
      <c r="F7" s="626"/>
      <c r="G7" s="627"/>
      <c r="H7" s="627"/>
      <c r="I7" s="627"/>
      <c r="J7" s="243"/>
      <c r="K7" s="602"/>
      <c r="L7" s="603"/>
    </row>
    <row r="8" spans="1:13" ht="13" x14ac:dyDescent="0.25">
      <c r="A8" s="604" t="s">
        <v>283</v>
      </c>
      <c r="B8" s="607" t="s">
        <v>284</v>
      </c>
      <c r="C8" s="610" t="s">
        <v>285</v>
      </c>
      <c r="D8" s="613" t="s">
        <v>286</v>
      </c>
      <c r="E8" s="616" t="s">
        <v>287</v>
      </c>
      <c r="F8" s="617"/>
      <c r="G8" s="617"/>
      <c r="H8" s="617"/>
      <c r="I8" s="617"/>
      <c r="J8" s="618"/>
      <c r="K8" s="619" t="s">
        <v>288</v>
      </c>
      <c r="L8" s="620"/>
    </row>
    <row r="9" spans="1:13" ht="13.5" x14ac:dyDescent="0.25">
      <c r="A9" s="605"/>
      <c r="B9" s="608"/>
      <c r="C9" s="611"/>
      <c r="D9" s="614"/>
      <c r="E9" s="190" t="s">
        <v>40</v>
      </c>
      <c r="F9" s="191" t="s">
        <v>42</v>
      </c>
      <c r="G9" s="191" t="s">
        <v>45</v>
      </c>
      <c r="H9" s="191" t="s">
        <v>48</v>
      </c>
      <c r="I9" s="191" t="s">
        <v>84</v>
      </c>
      <c r="J9" s="192" t="s">
        <v>86</v>
      </c>
      <c r="K9" s="621" t="s">
        <v>289</v>
      </c>
      <c r="L9" s="623" t="s">
        <v>290</v>
      </c>
    </row>
    <row r="10" spans="1:13" ht="24" customHeight="1" x14ac:dyDescent="0.25">
      <c r="A10" s="606"/>
      <c r="B10" s="609"/>
      <c r="C10" s="612"/>
      <c r="D10" s="615"/>
      <c r="E10" s="210" t="s">
        <v>291</v>
      </c>
      <c r="F10" s="211" t="s">
        <v>291</v>
      </c>
      <c r="G10" s="211" t="s">
        <v>291</v>
      </c>
      <c r="H10" s="211" t="s">
        <v>291</v>
      </c>
      <c r="I10" s="211" t="s">
        <v>291</v>
      </c>
      <c r="J10" s="212" t="s">
        <v>291</v>
      </c>
      <c r="K10" s="622"/>
      <c r="L10" s="624"/>
    </row>
    <row r="11" spans="1:13" ht="25" x14ac:dyDescent="0.25">
      <c r="A11" s="193">
        <v>1</v>
      </c>
      <c r="B11" s="400" t="s">
        <v>292</v>
      </c>
      <c r="C11" s="375" t="s">
        <v>293</v>
      </c>
      <c r="D11" s="376">
        <v>6</v>
      </c>
      <c r="E11" s="389">
        <v>25</v>
      </c>
      <c r="F11" s="389">
        <v>28</v>
      </c>
      <c r="G11" s="389">
        <v>24.99</v>
      </c>
      <c r="H11" s="389"/>
      <c r="I11" s="389"/>
      <c r="J11" s="389"/>
      <c r="K11" s="284">
        <f t="shared" ref="K11:K19" si="0">AVERAGE(E11:J11)</f>
        <v>25.996666666666666</v>
      </c>
      <c r="L11" s="285">
        <f t="shared" ref="L11:L19" si="1">K11*D11</f>
        <v>155.97999999999999</v>
      </c>
    </row>
    <row r="12" spans="1:13" ht="30.5" x14ac:dyDescent="0.25">
      <c r="A12" s="195">
        <v>2</v>
      </c>
      <c r="B12" s="401" t="s">
        <v>294</v>
      </c>
      <c r="C12" s="264" t="s">
        <v>293</v>
      </c>
      <c r="D12" s="377">
        <v>2</v>
      </c>
      <c r="E12" s="384">
        <v>30</v>
      </c>
      <c r="F12" s="384">
        <v>25.56</v>
      </c>
      <c r="G12" s="384">
        <v>29.9</v>
      </c>
      <c r="H12" s="384"/>
      <c r="I12" s="384"/>
      <c r="J12" s="384"/>
      <c r="K12" s="286">
        <f t="shared" si="0"/>
        <v>28.486666666666668</v>
      </c>
      <c r="L12" s="287">
        <f t="shared" si="1"/>
        <v>56.973333333333336</v>
      </c>
      <c r="M12" s="224"/>
    </row>
    <row r="13" spans="1:13" ht="25" x14ac:dyDescent="0.25">
      <c r="A13" s="195">
        <v>3</v>
      </c>
      <c r="B13" s="401" t="s">
        <v>295</v>
      </c>
      <c r="C13" s="196" t="s">
        <v>296</v>
      </c>
      <c r="D13" s="379">
        <v>6</v>
      </c>
      <c r="E13" s="384">
        <v>75</v>
      </c>
      <c r="F13" s="384">
        <v>52.89</v>
      </c>
      <c r="G13" s="384">
        <v>76</v>
      </c>
      <c r="H13" s="384">
        <v>62.9</v>
      </c>
      <c r="I13" s="384">
        <v>52.5</v>
      </c>
      <c r="J13" s="384">
        <v>49.9</v>
      </c>
      <c r="K13" s="286">
        <f t="shared" si="0"/>
        <v>61.531666666666659</v>
      </c>
      <c r="L13" s="287">
        <f t="shared" si="1"/>
        <v>369.18999999999994</v>
      </c>
    </row>
    <row r="14" spans="1:13" ht="25" x14ac:dyDescent="0.25">
      <c r="A14" s="195">
        <v>4</v>
      </c>
      <c r="B14" s="380" t="s">
        <v>297</v>
      </c>
      <c r="C14" s="381" t="s">
        <v>296</v>
      </c>
      <c r="D14" s="382">
        <v>6</v>
      </c>
      <c r="E14" s="384">
        <v>17</v>
      </c>
      <c r="F14" s="384">
        <v>12.1</v>
      </c>
      <c r="G14" s="384">
        <v>14.24</v>
      </c>
      <c r="H14" s="384">
        <v>15.9</v>
      </c>
      <c r="I14" s="384"/>
      <c r="J14" s="384"/>
      <c r="K14" s="286">
        <f t="shared" si="0"/>
        <v>14.81</v>
      </c>
      <c r="L14" s="287">
        <f t="shared" si="1"/>
        <v>88.86</v>
      </c>
    </row>
    <row r="15" spans="1:13" ht="17" x14ac:dyDescent="0.45">
      <c r="A15" s="195">
        <v>5</v>
      </c>
      <c r="B15" s="378" t="s">
        <v>298</v>
      </c>
      <c r="C15" s="196" t="s">
        <v>285</v>
      </c>
      <c r="D15" s="379">
        <v>1</v>
      </c>
      <c r="E15" s="384">
        <v>7</v>
      </c>
      <c r="F15" s="384">
        <v>4.45</v>
      </c>
      <c r="G15" s="384">
        <v>8</v>
      </c>
      <c r="H15" s="384">
        <v>7</v>
      </c>
      <c r="I15" s="384">
        <v>7</v>
      </c>
      <c r="J15" s="384">
        <v>4.62</v>
      </c>
      <c r="K15" s="286">
        <f t="shared" si="0"/>
        <v>6.3449999999999998</v>
      </c>
      <c r="L15" s="287">
        <f t="shared" si="1"/>
        <v>6.3449999999999998</v>
      </c>
      <c r="M15" s="225"/>
    </row>
    <row r="16" spans="1:13" x14ac:dyDescent="0.25">
      <c r="A16" s="195">
        <v>6</v>
      </c>
      <c r="B16" s="378" t="s">
        <v>299</v>
      </c>
      <c r="C16" s="215" t="s">
        <v>285</v>
      </c>
      <c r="D16" s="372">
        <v>2</v>
      </c>
      <c r="E16" s="384">
        <v>55.92</v>
      </c>
      <c r="F16" s="384">
        <v>62.9</v>
      </c>
      <c r="G16" s="384">
        <v>76</v>
      </c>
      <c r="H16" s="384"/>
      <c r="I16" s="384"/>
      <c r="J16" s="384"/>
      <c r="K16" s="286">
        <f t="shared" si="0"/>
        <v>64.94</v>
      </c>
      <c r="L16" s="287">
        <f t="shared" si="1"/>
        <v>129.88</v>
      </c>
    </row>
    <row r="17" spans="1:12" x14ac:dyDescent="0.25">
      <c r="A17" s="195">
        <v>7</v>
      </c>
      <c r="B17" s="378" t="s">
        <v>300</v>
      </c>
      <c r="C17" s="215" t="s">
        <v>296</v>
      </c>
      <c r="D17" s="372">
        <v>1</v>
      </c>
      <c r="E17" s="384">
        <v>12.17</v>
      </c>
      <c r="F17" s="384">
        <v>15.22</v>
      </c>
      <c r="G17" s="384">
        <v>16.989999999999998</v>
      </c>
      <c r="H17" s="384">
        <v>10.8</v>
      </c>
      <c r="I17" s="384">
        <v>11.4</v>
      </c>
      <c r="J17" s="384">
        <v>11.9</v>
      </c>
      <c r="K17" s="286">
        <f t="shared" si="0"/>
        <v>13.08</v>
      </c>
      <c r="L17" s="287">
        <f t="shared" si="1"/>
        <v>13.08</v>
      </c>
    </row>
    <row r="18" spans="1:12" ht="13" thickBot="1" x14ac:dyDescent="0.3">
      <c r="A18" s="195">
        <v>8</v>
      </c>
      <c r="B18" s="378" t="s">
        <v>301</v>
      </c>
      <c r="C18" s="383" t="s">
        <v>285</v>
      </c>
      <c r="D18" s="216">
        <v>1</v>
      </c>
      <c r="E18" s="384">
        <v>50.4</v>
      </c>
      <c r="F18" s="384">
        <v>47</v>
      </c>
      <c r="G18" s="384">
        <v>59.4</v>
      </c>
      <c r="H18" s="384">
        <v>54.9</v>
      </c>
      <c r="I18" s="384">
        <v>51.9</v>
      </c>
      <c r="J18" s="384">
        <v>47</v>
      </c>
      <c r="K18" s="286">
        <f t="shared" si="0"/>
        <v>51.766666666666673</v>
      </c>
      <c r="L18" s="287">
        <f t="shared" si="1"/>
        <v>51.766666666666673</v>
      </c>
    </row>
    <row r="19" spans="1:12" ht="75.5" thickBot="1" x14ac:dyDescent="0.3">
      <c r="A19" s="195">
        <v>9</v>
      </c>
      <c r="B19" s="451" t="s">
        <v>568</v>
      </c>
      <c r="C19" s="264" t="s">
        <v>293</v>
      </c>
      <c r="D19" s="377">
        <v>48</v>
      </c>
      <c r="E19" s="384">
        <v>18.7</v>
      </c>
      <c r="F19" s="384">
        <v>28.04</v>
      </c>
      <c r="G19" s="384">
        <v>19.760000000000002</v>
      </c>
      <c r="H19" s="384">
        <v>24.68</v>
      </c>
      <c r="I19" s="384"/>
      <c r="J19" s="384"/>
      <c r="K19" s="284">
        <f t="shared" si="0"/>
        <v>22.795000000000002</v>
      </c>
      <c r="L19" s="285">
        <f t="shared" si="1"/>
        <v>1094.1600000000001</v>
      </c>
    </row>
    <row r="20" spans="1:12" ht="13.5" thickBot="1" x14ac:dyDescent="0.3">
      <c r="A20" s="573" t="s">
        <v>302</v>
      </c>
      <c r="B20" s="574"/>
      <c r="C20" s="574"/>
      <c r="D20" s="575"/>
      <c r="E20" s="197"/>
      <c r="F20" s="198"/>
      <c r="G20" s="198"/>
      <c r="H20" s="198"/>
      <c r="I20" s="198"/>
      <c r="J20" s="199"/>
      <c r="K20" s="576">
        <f>SUM(L11:L19)</f>
        <v>1966.2350000000001</v>
      </c>
      <c r="L20" s="577"/>
    </row>
    <row r="21" spans="1:12" ht="13" thickBot="1" x14ac:dyDescent="0.3">
      <c r="K21" s="226"/>
      <c r="L21" s="226"/>
    </row>
    <row r="22" spans="1:12" ht="13.5" thickBot="1" x14ac:dyDescent="0.35">
      <c r="A22" s="573" t="s">
        <v>303</v>
      </c>
      <c r="B22" s="574"/>
      <c r="C22" s="574"/>
      <c r="D22" s="574"/>
      <c r="E22" s="574"/>
      <c r="F22" s="574"/>
      <c r="G22" s="574"/>
      <c r="H22" s="574"/>
      <c r="I22" s="574"/>
      <c r="J22" s="575"/>
      <c r="K22" s="578">
        <f>K20/12</f>
        <v>163.85291666666669</v>
      </c>
      <c r="L22" s="579"/>
    </row>
    <row r="23" spans="1:12" x14ac:dyDescent="0.25">
      <c r="K23" s="226"/>
      <c r="L23" s="226"/>
    </row>
    <row r="24" spans="1:12" ht="13" thickBot="1" x14ac:dyDescent="0.3">
      <c r="A24" s="68"/>
      <c r="K24" s="226"/>
      <c r="L24" s="227"/>
    </row>
    <row r="25" spans="1:12" ht="15" thickBot="1" x14ac:dyDescent="0.3">
      <c r="A25" s="580" t="s">
        <v>304</v>
      </c>
      <c r="B25" s="581"/>
      <c r="C25" s="581"/>
      <c r="D25" s="581"/>
      <c r="E25" s="581"/>
      <c r="F25" s="581"/>
      <c r="G25" s="581"/>
      <c r="H25" s="581"/>
      <c r="I25" s="581"/>
      <c r="J25" s="581"/>
      <c r="K25" s="582">
        <f>K22</f>
        <v>163.85291666666669</v>
      </c>
      <c r="L25" s="583"/>
    </row>
    <row r="27" spans="1:12" ht="13" thickBot="1" x14ac:dyDescent="0.3"/>
    <row r="28" spans="1:12" x14ac:dyDescent="0.25">
      <c r="A28" s="631"/>
      <c r="B28" s="632"/>
      <c r="C28" s="637" t="s">
        <v>305</v>
      </c>
      <c r="D28" s="640"/>
      <c r="E28" s="641"/>
      <c r="F28" s="641"/>
      <c r="G28" s="641"/>
      <c r="H28" s="641"/>
      <c r="I28" s="641"/>
      <c r="J28" s="641"/>
      <c r="K28" s="641"/>
      <c r="L28" s="642"/>
    </row>
    <row r="29" spans="1:12" x14ac:dyDescent="0.25">
      <c r="A29" s="633"/>
      <c r="B29" s="634"/>
      <c r="C29" s="638"/>
      <c r="D29" s="643"/>
      <c r="E29" s="644"/>
      <c r="F29" s="644"/>
      <c r="G29" s="644"/>
      <c r="H29" s="644"/>
      <c r="I29" s="644"/>
      <c r="J29" s="644"/>
      <c r="K29" s="644"/>
      <c r="L29" s="645"/>
    </row>
    <row r="30" spans="1:12" x14ac:dyDescent="0.25">
      <c r="A30" s="633"/>
      <c r="B30" s="634"/>
      <c r="C30" s="638"/>
      <c r="D30" s="643"/>
      <c r="E30" s="644"/>
      <c r="F30" s="644"/>
      <c r="G30" s="644"/>
      <c r="H30" s="644"/>
      <c r="I30" s="644"/>
      <c r="J30" s="644"/>
      <c r="K30" s="644"/>
      <c r="L30" s="645"/>
    </row>
    <row r="31" spans="1:12" ht="13" thickBot="1" x14ac:dyDescent="0.3">
      <c r="A31" s="635"/>
      <c r="B31" s="636"/>
      <c r="C31" s="639"/>
      <c r="D31" s="646"/>
      <c r="E31" s="647"/>
      <c r="F31" s="647"/>
      <c r="G31" s="647"/>
      <c r="H31" s="647"/>
      <c r="I31" s="647"/>
      <c r="J31" s="647"/>
      <c r="K31" s="647"/>
      <c r="L31" s="648"/>
    </row>
    <row r="33" spans="1:12" ht="13" thickBot="1" x14ac:dyDescent="0.3"/>
    <row r="34" spans="1:12" x14ac:dyDescent="0.25">
      <c r="A34" s="649" t="s">
        <v>306</v>
      </c>
      <c r="B34" s="650"/>
      <c r="C34" s="650"/>
      <c r="D34" s="650"/>
      <c r="E34" s="650"/>
      <c r="F34" s="650"/>
      <c r="G34" s="650"/>
      <c r="H34" s="650"/>
      <c r="I34" s="650"/>
      <c r="J34" s="650"/>
      <c r="K34" s="650"/>
      <c r="L34" s="651"/>
    </row>
    <row r="35" spans="1:12" x14ac:dyDescent="0.25">
      <c r="A35" s="652"/>
      <c r="B35" s="571"/>
      <c r="C35" s="571"/>
      <c r="D35" s="571"/>
      <c r="E35" s="571"/>
      <c r="F35" s="571"/>
      <c r="G35" s="571"/>
      <c r="H35" s="571"/>
      <c r="I35" s="571"/>
      <c r="J35" s="571"/>
      <c r="K35" s="571"/>
      <c r="L35" s="653"/>
    </row>
    <row r="36" spans="1:12" x14ac:dyDescent="0.25">
      <c r="A36" s="652"/>
      <c r="B36" s="571"/>
      <c r="C36" s="571"/>
      <c r="D36" s="571"/>
      <c r="E36" s="571"/>
      <c r="F36" s="571"/>
      <c r="G36" s="571"/>
      <c r="H36" s="571"/>
      <c r="I36" s="571"/>
      <c r="J36" s="571"/>
      <c r="K36" s="571"/>
      <c r="L36" s="653"/>
    </row>
    <row r="37" spans="1:12" x14ac:dyDescent="0.25">
      <c r="A37" s="652"/>
      <c r="B37" s="571"/>
      <c r="C37" s="571"/>
      <c r="D37" s="571"/>
      <c r="E37" s="571"/>
      <c r="F37" s="571"/>
      <c r="G37" s="571"/>
      <c r="H37" s="571"/>
      <c r="I37" s="571"/>
      <c r="J37" s="571"/>
      <c r="K37" s="571"/>
      <c r="L37" s="653"/>
    </row>
    <row r="38" spans="1:12" ht="13" thickBot="1" x14ac:dyDescent="0.3">
      <c r="A38" s="654"/>
      <c r="B38" s="655"/>
      <c r="C38" s="655"/>
      <c r="D38" s="655"/>
      <c r="E38" s="655"/>
      <c r="F38" s="655"/>
      <c r="G38" s="655"/>
      <c r="H38" s="655"/>
      <c r="I38" s="655"/>
      <c r="J38" s="655"/>
      <c r="K38" s="655"/>
      <c r="L38" s="656"/>
    </row>
    <row r="39" spans="1:12" ht="13" thickBot="1" x14ac:dyDescent="0.3"/>
    <row r="40" spans="1:12" x14ac:dyDescent="0.25">
      <c r="A40" s="657" t="s">
        <v>307</v>
      </c>
      <c r="B40" s="658"/>
      <c r="C40" s="658"/>
      <c r="D40" s="658"/>
      <c r="E40" s="658"/>
      <c r="F40" s="658"/>
      <c r="G40" s="658"/>
      <c r="H40" s="659"/>
    </row>
    <row r="41" spans="1:12" x14ac:dyDescent="0.25">
      <c r="A41" s="660"/>
      <c r="B41" s="661"/>
      <c r="C41" s="661"/>
      <c r="D41" s="661"/>
      <c r="E41" s="661"/>
      <c r="F41" s="661"/>
      <c r="G41" s="661"/>
      <c r="H41" s="662"/>
    </row>
    <row r="42" spans="1:12" x14ac:dyDescent="0.25">
      <c r="A42" s="660"/>
      <c r="B42" s="661"/>
      <c r="C42" s="661"/>
      <c r="D42" s="661"/>
      <c r="E42" s="661"/>
      <c r="F42" s="661"/>
      <c r="G42" s="661"/>
      <c r="H42" s="662"/>
    </row>
    <row r="43" spans="1:12" ht="13" thickBot="1" x14ac:dyDescent="0.3">
      <c r="A43" s="663"/>
      <c r="B43" s="664"/>
      <c r="C43" s="664"/>
      <c r="D43" s="664"/>
      <c r="E43" s="664"/>
      <c r="F43" s="664"/>
      <c r="G43" s="664"/>
      <c r="H43" s="665"/>
    </row>
  </sheetData>
  <mergeCells count="38">
    <mergeCell ref="A28:B31"/>
    <mergeCell ref="C28:C31"/>
    <mergeCell ref="D28:L31"/>
    <mergeCell ref="A34:L38"/>
    <mergeCell ref="A40:H43"/>
    <mergeCell ref="K6:L6"/>
    <mergeCell ref="K7:L7"/>
    <mergeCell ref="A8:A10"/>
    <mergeCell ref="B8:B10"/>
    <mergeCell ref="C8:C10"/>
    <mergeCell ref="D8:D10"/>
    <mergeCell ref="E8:J8"/>
    <mergeCell ref="K8:L8"/>
    <mergeCell ref="K9:K10"/>
    <mergeCell ref="L9:L10"/>
    <mergeCell ref="B7:D7"/>
    <mergeCell ref="F7:I7"/>
    <mergeCell ref="B6:D6"/>
    <mergeCell ref="F6:I6"/>
    <mergeCell ref="A1:L1"/>
    <mergeCell ref="K2:L2"/>
    <mergeCell ref="K3:L3"/>
    <mergeCell ref="K4:L4"/>
    <mergeCell ref="K5:L5"/>
    <mergeCell ref="B5:D5"/>
    <mergeCell ref="F5:I5"/>
    <mergeCell ref="B4:D4"/>
    <mergeCell ref="F4:I4"/>
    <mergeCell ref="B2:D2"/>
    <mergeCell ref="F2:I2"/>
    <mergeCell ref="B3:D3"/>
    <mergeCell ref="F3:I3"/>
    <mergeCell ref="A20:D20"/>
    <mergeCell ref="K20:L20"/>
    <mergeCell ref="A22:J22"/>
    <mergeCell ref="K22:L22"/>
    <mergeCell ref="A25:J25"/>
    <mergeCell ref="K25:L25"/>
  </mergeCells>
  <pageMargins left="0.511811024" right="0.511811024" top="0.78740157499999996" bottom="0.78740157499999996" header="0.31496062000000002" footer="0.31496062000000002"/>
  <pageSetup paperSize="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M68"/>
  <sheetViews>
    <sheetView topLeftCell="B22" zoomScaleNormal="100" workbookViewId="0">
      <selection activeCell="E27" sqref="E27"/>
    </sheetView>
  </sheetViews>
  <sheetFormatPr defaultRowHeight="12.5" x14ac:dyDescent="0.25"/>
  <cols>
    <col min="1" max="1" width="3.7265625" style="200" bestFit="1" customWidth="1"/>
    <col min="2" max="2" width="47.7265625" customWidth="1"/>
    <col min="3" max="3" width="9" customWidth="1"/>
    <col min="4" max="4" width="9.1796875" customWidth="1"/>
    <col min="5" max="5" width="9.54296875" bestFit="1" customWidth="1"/>
    <col min="6" max="6" width="10.81640625" customWidth="1"/>
    <col min="7" max="7" width="9.54296875" bestFit="1" customWidth="1"/>
    <col min="8" max="8" width="10.453125" bestFit="1" customWidth="1"/>
    <col min="9" max="9" width="9.1796875" customWidth="1"/>
    <col min="10" max="10" width="9.26953125" customWidth="1"/>
    <col min="11" max="11" width="10" customWidth="1"/>
    <col min="12" max="12" width="11" customWidth="1"/>
    <col min="13" max="13" width="40.26953125" customWidth="1"/>
    <col min="208" max="208" width="3.7265625" bestFit="1" customWidth="1"/>
    <col min="209" max="209" width="52.81640625" customWidth="1"/>
    <col min="210" max="210" width="6.7265625" customWidth="1"/>
    <col min="211" max="211" width="5.54296875" customWidth="1"/>
    <col min="212" max="212" width="9.1796875" customWidth="1"/>
    <col min="213" max="213" width="8.81640625" customWidth="1"/>
    <col min="214" max="214" width="8.7265625" customWidth="1"/>
    <col min="215" max="215" width="9" customWidth="1"/>
    <col min="216" max="216" width="9.1796875" customWidth="1"/>
    <col min="217" max="217" width="9.26953125" customWidth="1"/>
    <col min="218" max="218" width="10" customWidth="1"/>
    <col min="219" max="219" width="11" customWidth="1"/>
    <col min="464" max="464" width="3.7265625" bestFit="1" customWidth="1"/>
    <col min="465" max="465" width="52.81640625" customWidth="1"/>
    <col min="466" max="466" width="6.7265625" customWidth="1"/>
    <col min="467" max="467" width="5.54296875" customWidth="1"/>
    <col min="468" max="468" width="9.1796875" customWidth="1"/>
    <col min="469" max="469" width="8.81640625" customWidth="1"/>
    <col min="470" max="470" width="8.7265625" customWidth="1"/>
    <col min="471" max="471" width="9" customWidth="1"/>
    <col min="472" max="472" width="9.1796875" customWidth="1"/>
    <col min="473" max="473" width="9.26953125" customWidth="1"/>
    <col min="474" max="474" width="10" customWidth="1"/>
    <col min="475" max="475" width="11" customWidth="1"/>
    <col min="720" max="720" width="3.7265625" bestFit="1" customWidth="1"/>
    <col min="721" max="721" width="52.81640625" customWidth="1"/>
    <col min="722" max="722" width="6.7265625" customWidth="1"/>
    <col min="723" max="723" width="5.54296875" customWidth="1"/>
    <col min="724" max="724" width="9.1796875" customWidth="1"/>
    <col min="725" max="725" width="8.81640625" customWidth="1"/>
    <col min="726" max="726" width="8.7265625" customWidth="1"/>
    <col min="727" max="727" width="9" customWidth="1"/>
    <col min="728" max="728" width="9.1796875" customWidth="1"/>
    <col min="729" max="729" width="9.26953125" customWidth="1"/>
    <col min="730" max="730" width="10" customWidth="1"/>
    <col min="731" max="731" width="11" customWidth="1"/>
    <col min="976" max="976" width="3.7265625" bestFit="1" customWidth="1"/>
    <col min="977" max="977" width="52.81640625" customWidth="1"/>
    <col min="978" max="978" width="6.7265625" customWidth="1"/>
    <col min="979" max="979" width="5.54296875" customWidth="1"/>
    <col min="980" max="980" width="9.1796875" customWidth="1"/>
    <col min="981" max="981" width="8.81640625" customWidth="1"/>
    <col min="982" max="982" width="8.7265625" customWidth="1"/>
    <col min="983" max="983" width="9" customWidth="1"/>
    <col min="984" max="984" width="9.1796875" customWidth="1"/>
    <col min="985" max="985" width="9.26953125" customWidth="1"/>
    <col min="986" max="986" width="10" customWidth="1"/>
    <col min="987" max="987" width="11" customWidth="1"/>
    <col min="1232" max="1232" width="3.7265625" bestFit="1" customWidth="1"/>
    <col min="1233" max="1233" width="52.81640625" customWidth="1"/>
    <col min="1234" max="1234" width="6.7265625" customWidth="1"/>
    <col min="1235" max="1235" width="5.54296875" customWidth="1"/>
    <col min="1236" max="1236" width="9.1796875" customWidth="1"/>
    <col min="1237" max="1237" width="8.81640625" customWidth="1"/>
    <col min="1238" max="1238" width="8.7265625" customWidth="1"/>
    <col min="1239" max="1239" width="9" customWidth="1"/>
    <col min="1240" max="1240" width="9.1796875" customWidth="1"/>
    <col min="1241" max="1241" width="9.26953125" customWidth="1"/>
    <col min="1242" max="1242" width="10" customWidth="1"/>
    <col min="1243" max="1243" width="11" customWidth="1"/>
    <col min="1488" max="1488" width="3.7265625" bestFit="1" customWidth="1"/>
    <col min="1489" max="1489" width="52.81640625" customWidth="1"/>
    <col min="1490" max="1490" width="6.7265625" customWidth="1"/>
    <col min="1491" max="1491" width="5.54296875" customWidth="1"/>
    <col min="1492" max="1492" width="9.1796875" customWidth="1"/>
    <col min="1493" max="1493" width="8.81640625" customWidth="1"/>
    <col min="1494" max="1494" width="8.7265625" customWidth="1"/>
    <col min="1495" max="1495" width="9" customWidth="1"/>
    <col min="1496" max="1496" width="9.1796875" customWidth="1"/>
    <col min="1497" max="1497" width="9.26953125" customWidth="1"/>
    <col min="1498" max="1498" width="10" customWidth="1"/>
    <col min="1499" max="1499" width="11" customWidth="1"/>
    <col min="1744" max="1744" width="3.7265625" bestFit="1" customWidth="1"/>
    <col min="1745" max="1745" width="52.81640625" customWidth="1"/>
    <col min="1746" max="1746" width="6.7265625" customWidth="1"/>
    <col min="1747" max="1747" width="5.54296875" customWidth="1"/>
    <col min="1748" max="1748" width="9.1796875" customWidth="1"/>
    <col min="1749" max="1749" width="8.81640625" customWidth="1"/>
    <col min="1750" max="1750" width="8.7265625" customWidth="1"/>
    <col min="1751" max="1751" width="9" customWidth="1"/>
    <col min="1752" max="1752" width="9.1796875" customWidth="1"/>
    <col min="1753" max="1753" width="9.26953125" customWidth="1"/>
    <col min="1754" max="1754" width="10" customWidth="1"/>
    <col min="1755" max="1755" width="11" customWidth="1"/>
    <col min="2000" max="2000" width="3.7265625" bestFit="1" customWidth="1"/>
    <col min="2001" max="2001" width="52.81640625" customWidth="1"/>
    <col min="2002" max="2002" width="6.7265625" customWidth="1"/>
    <col min="2003" max="2003" width="5.54296875" customWidth="1"/>
    <col min="2004" max="2004" width="9.1796875" customWidth="1"/>
    <col min="2005" max="2005" width="8.81640625" customWidth="1"/>
    <col min="2006" max="2006" width="8.7265625" customWidth="1"/>
    <col min="2007" max="2007" width="9" customWidth="1"/>
    <col min="2008" max="2008" width="9.1796875" customWidth="1"/>
    <col min="2009" max="2009" width="9.26953125" customWidth="1"/>
    <col min="2010" max="2010" width="10" customWidth="1"/>
    <col min="2011" max="2011" width="11" customWidth="1"/>
    <col min="2256" max="2256" width="3.7265625" bestFit="1" customWidth="1"/>
    <col min="2257" max="2257" width="52.81640625" customWidth="1"/>
    <col min="2258" max="2258" width="6.7265625" customWidth="1"/>
    <col min="2259" max="2259" width="5.54296875" customWidth="1"/>
    <col min="2260" max="2260" width="9.1796875" customWidth="1"/>
    <col min="2261" max="2261" width="8.81640625" customWidth="1"/>
    <col min="2262" max="2262" width="8.7265625" customWidth="1"/>
    <col min="2263" max="2263" width="9" customWidth="1"/>
    <col min="2264" max="2264" width="9.1796875" customWidth="1"/>
    <col min="2265" max="2265" width="9.26953125" customWidth="1"/>
    <col min="2266" max="2266" width="10" customWidth="1"/>
    <col min="2267" max="2267" width="11" customWidth="1"/>
    <col min="2512" max="2512" width="3.7265625" bestFit="1" customWidth="1"/>
    <col min="2513" max="2513" width="52.81640625" customWidth="1"/>
    <col min="2514" max="2514" width="6.7265625" customWidth="1"/>
    <col min="2515" max="2515" width="5.54296875" customWidth="1"/>
    <col min="2516" max="2516" width="9.1796875" customWidth="1"/>
    <col min="2517" max="2517" width="8.81640625" customWidth="1"/>
    <col min="2518" max="2518" width="8.7265625" customWidth="1"/>
    <col min="2519" max="2519" width="9" customWidth="1"/>
    <col min="2520" max="2520" width="9.1796875" customWidth="1"/>
    <col min="2521" max="2521" width="9.26953125" customWidth="1"/>
    <col min="2522" max="2522" width="10" customWidth="1"/>
    <col min="2523" max="2523" width="11" customWidth="1"/>
    <col min="2768" max="2768" width="3.7265625" bestFit="1" customWidth="1"/>
    <col min="2769" max="2769" width="52.81640625" customWidth="1"/>
    <col min="2770" max="2770" width="6.7265625" customWidth="1"/>
    <col min="2771" max="2771" width="5.54296875" customWidth="1"/>
    <col min="2772" max="2772" width="9.1796875" customWidth="1"/>
    <col min="2773" max="2773" width="8.81640625" customWidth="1"/>
    <col min="2774" max="2774" width="8.7265625" customWidth="1"/>
    <col min="2775" max="2775" width="9" customWidth="1"/>
    <col min="2776" max="2776" width="9.1796875" customWidth="1"/>
    <col min="2777" max="2777" width="9.26953125" customWidth="1"/>
    <col min="2778" max="2778" width="10" customWidth="1"/>
    <col min="2779" max="2779" width="11" customWidth="1"/>
    <col min="3024" max="3024" width="3.7265625" bestFit="1" customWidth="1"/>
    <col min="3025" max="3025" width="52.81640625" customWidth="1"/>
    <col min="3026" max="3026" width="6.7265625" customWidth="1"/>
    <col min="3027" max="3027" width="5.54296875" customWidth="1"/>
    <col min="3028" max="3028" width="9.1796875" customWidth="1"/>
    <col min="3029" max="3029" width="8.81640625" customWidth="1"/>
    <col min="3030" max="3030" width="8.7265625" customWidth="1"/>
    <col min="3031" max="3031" width="9" customWidth="1"/>
    <col min="3032" max="3032" width="9.1796875" customWidth="1"/>
    <col min="3033" max="3033" width="9.26953125" customWidth="1"/>
    <col min="3034" max="3034" width="10" customWidth="1"/>
    <col min="3035" max="3035" width="11" customWidth="1"/>
    <col min="3280" max="3280" width="3.7265625" bestFit="1" customWidth="1"/>
    <col min="3281" max="3281" width="52.81640625" customWidth="1"/>
    <col min="3282" max="3282" width="6.7265625" customWidth="1"/>
    <col min="3283" max="3283" width="5.54296875" customWidth="1"/>
    <col min="3284" max="3284" width="9.1796875" customWidth="1"/>
    <col min="3285" max="3285" width="8.81640625" customWidth="1"/>
    <col min="3286" max="3286" width="8.7265625" customWidth="1"/>
    <col min="3287" max="3287" width="9" customWidth="1"/>
    <col min="3288" max="3288" width="9.1796875" customWidth="1"/>
    <col min="3289" max="3289" width="9.26953125" customWidth="1"/>
    <col min="3290" max="3290" width="10" customWidth="1"/>
    <col min="3291" max="3291" width="11" customWidth="1"/>
    <col min="3536" max="3536" width="3.7265625" bestFit="1" customWidth="1"/>
    <col min="3537" max="3537" width="52.81640625" customWidth="1"/>
    <col min="3538" max="3538" width="6.7265625" customWidth="1"/>
    <col min="3539" max="3539" width="5.54296875" customWidth="1"/>
    <col min="3540" max="3540" width="9.1796875" customWidth="1"/>
    <col min="3541" max="3541" width="8.81640625" customWidth="1"/>
    <col min="3542" max="3542" width="8.7265625" customWidth="1"/>
    <col min="3543" max="3543" width="9" customWidth="1"/>
    <col min="3544" max="3544" width="9.1796875" customWidth="1"/>
    <col min="3545" max="3545" width="9.26953125" customWidth="1"/>
    <col min="3546" max="3546" width="10" customWidth="1"/>
    <col min="3547" max="3547" width="11" customWidth="1"/>
    <col min="3792" max="3792" width="3.7265625" bestFit="1" customWidth="1"/>
    <col min="3793" max="3793" width="52.81640625" customWidth="1"/>
    <col min="3794" max="3794" width="6.7265625" customWidth="1"/>
    <col min="3795" max="3795" width="5.54296875" customWidth="1"/>
    <col min="3796" max="3796" width="9.1796875" customWidth="1"/>
    <col min="3797" max="3797" width="8.81640625" customWidth="1"/>
    <col min="3798" max="3798" width="8.7265625" customWidth="1"/>
    <col min="3799" max="3799" width="9" customWidth="1"/>
    <col min="3800" max="3800" width="9.1796875" customWidth="1"/>
    <col min="3801" max="3801" width="9.26953125" customWidth="1"/>
    <col min="3802" max="3802" width="10" customWidth="1"/>
    <col min="3803" max="3803" width="11" customWidth="1"/>
    <col min="4048" max="4048" width="3.7265625" bestFit="1" customWidth="1"/>
    <col min="4049" max="4049" width="52.81640625" customWidth="1"/>
    <col min="4050" max="4050" width="6.7265625" customWidth="1"/>
    <col min="4051" max="4051" width="5.54296875" customWidth="1"/>
    <col min="4052" max="4052" width="9.1796875" customWidth="1"/>
    <col min="4053" max="4053" width="8.81640625" customWidth="1"/>
    <col min="4054" max="4054" width="8.7265625" customWidth="1"/>
    <col min="4055" max="4055" width="9" customWidth="1"/>
    <col min="4056" max="4056" width="9.1796875" customWidth="1"/>
    <col min="4057" max="4057" width="9.26953125" customWidth="1"/>
    <col min="4058" max="4058" width="10" customWidth="1"/>
    <col min="4059" max="4059" width="11" customWidth="1"/>
    <col min="4304" max="4304" width="3.7265625" bestFit="1" customWidth="1"/>
    <col min="4305" max="4305" width="52.81640625" customWidth="1"/>
    <col min="4306" max="4306" width="6.7265625" customWidth="1"/>
    <col min="4307" max="4307" width="5.54296875" customWidth="1"/>
    <col min="4308" max="4308" width="9.1796875" customWidth="1"/>
    <col min="4309" max="4309" width="8.81640625" customWidth="1"/>
    <col min="4310" max="4310" width="8.7265625" customWidth="1"/>
    <col min="4311" max="4311" width="9" customWidth="1"/>
    <col min="4312" max="4312" width="9.1796875" customWidth="1"/>
    <col min="4313" max="4313" width="9.26953125" customWidth="1"/>
    <col min="4314" max="4314" width="10" customWidth="1"/>
    <col min="4315" max="4315" width="11" customWidth="1"/>
    <col min="4560" max="4560" width="3.7265625" bestFit="1" customWidth="1"/>
    <col min="4561" max="4561" width="52.81640625" customWidth="1"/>
    <col min="4562" max="4562" width="6.7265625" customWidth="1"/>
    <col min="4563" max="4563" width="5.54296875" customWidth="1"/>
    <col min="4564" max="4564" width="9.1796875" customWidth="1"/>
    <col min="4565" max="4565" width="8.81640625" customWidth="1"/>
    <col min="4566" max="4566" width="8.7265625" customWidth="1"/>
    <col min="4567" max="4567" width="9" customWidth="1"/>
    <col min="4568" max="4568" width="9.1796875" customWidth="1"/>
    <col min="4569" max="4569" width="9.26953125" customWidth="1"/>
    <col min="4570" max="4570" width="10" customWidth="1"/>
    <col min="4571" max="4571" width="11" customWidth="1"/>
    <col min="4816" max="4816" width="3.7265625" bestFit="1" customWidth="1"/>
    <col min="4817" max="4817" width="52.81640625" customWidth="1"/>
    <col min="4818" max="4818" width="6.7265625" customWidth="1"/>
    <col min="4819" max="4819" width="5.54296875" customWidth="1"/>
    <col min="4820" max="4820" width="9.1796875" customWidth="1"/>
    <col min="4821" max="4821" width="8.81640625" customWidth="1"/>
    <col min="4822" max="4822" width="8.7265625" customWidth="1"/>
    <col min="4823" max="4823" width="9" customWidth="1"/>
    <col min="4824" max="4824" width="9.1796875" customWidth="1"/>
    <col min="4825" max="4825" width="9.26953125" customWidth="1"/>
    <col min="4826" max="4826" width="10" customWidth="1"/>
    <col min="4827" max="4827" width="11" customWidth="1"/>
    <col min="5072" max="5072" width="3.7265625" bestFit="1" customWidth="1"/>
    <col min="5073" max="5073" width="52.81640625" customWidth="1"/>
    <col min="5074" max="5074" width="6.7265625" customWidth="1"/>
    <col min="5075" max="5075" width="5.54296875" customWidth="1"/>
    <col min="5076" max="5076" width="9.1796875" customWidth="1"/>
    <col min="5077" max="5077" width="8.81640625" customWidth="1"/>
    <col min="5078" max="5078" width="8.7265625" customWidth="1"/>
    <col min="5079" max="5079" width="9" customWidth="1"/>
    <col min="5080" max="5080" width="9.1796875" customWidth="1"/>
    <col min="5081" max="5081" width="9.26953125" customWidth="1"/>
    <col min="5082" max="5082" width="10" customWidth="1"/>
    <col min="5083" max="5083" width="11" customWidth="1"/>
    <col min="5328" max="5328" width="3.7265625" bestFit="1" customWidth="1"/>
    <col min="5329" max="5329" width="52.81640625" customWidth="1"/>
    <col min="5330" max="5330" width="6.7265625" customWidth="1"/>
    <col min="5331" max="5331" width="5.54296875" customWidth="1"/>
    <col min="5332" max="5332" width="9.1796875" customWidth="1"/>
    <col min="5333" max="5333" width="8.81640625" customWidth="1"/>
    <col min="5334" max="5334" width="8.7265625" customWidth="1"/>
    <col min="5335" max="5335" width="9" customWidth="1"/>
    <col min="5336" max="5336" width="9.1796875" customWidth="1"/>
    <col min="5337" max="5337" width="9.26953125" customWidth="1"/>
    <col min="5338" max="5338" width="10" customWidth="1"/>
    <col min="5339" max="5339" width="11" customWidth="1"/>
    <col min="5584" max="5584" width="3.7265625" bestFit="1" customWidth="1"/>
    <col min="5585" max="5585" width="52.81640625" customWidth="1"/>
    <col min="5586" max="5586" width="6.7265625" customWidth="1"/>
    <col min="5587" max="5587" width="5.54296875" customWidth="1"/>
    <col min="5588" max="5588" width="9.1796875" customWidth="1"/>
    <col min="5589" max="5589" width="8.81640625" customWidth="1"/>
    <col min="5590" max="5590" width="8.7265625" customWidth="1"/>
    <col min="5591" max="5591" width="9" customWidth="1"/>
    <col min="5592" max="5592" width="9.1796875" customWidth="1"/>
    <col min="5593" max="5593" width="9.26953125" customWidth="1"/>
    <col min="5594" max="5594" width="10" customWidth="1"/>
    <col min="5595" max="5595" width="11" customWidth="1"/>
    <col min="5840" max="5840" width="3.7265625" bestFit="1" customWidth="1"/>
    <col min="5841" max="5841" width="52.81640625" customWidth="1"/>
    <col min="5842" max="5842" width="6.7265625" customWidth="1"/>
    <col min="5843" max="5843" width="5.54296875" customWidth="1"/>
    <col min="5844" max="5844" width="9.1796875" customWidth="1"/>
    <col min="5845" max="5845" width="8.81640625" customWidth="1"/>
    <col min="5846" max="5846" width="8.7265625" customWidth="1"/>
    <col min="5847" max="5847" width="9" customWidth="1"/>
    <col min="5848" max="5848" width="9.1796875" customWidth="1"/>
    <col min="5849" max="5849" width="9.26953125" customWidth="1"/>
    <col min="5850" max="5850" width="10" customWidth="1"/>
    <col min="5851" max="5851" width="11" customWidth="1"/>
    <col min="6096" max="6096" width="3.7265625" bestFit="1" customWidth="1"/>
    <col min="6097" max="6097" width="52.81640625" customWidth="1"/>
    <col min="6098" max="6098" width="6.7265625" customWidth="1"/>
    <col min="6099" max="6099" width="5.54296875" customWidth="1"/>
    <col min="6100" max="6100" width="9.1796875" customWidth="1"/>
    <col min="6101" max="6101" width="8.81640625" customWidth="1"/>
    <col min="6102" max="6102" width="8.7265625" customWidth="1"/>
    <col min="6103" max="6103" width="9" customWidth="1"/>
    <col min="6104" max="6104" width="9.1796875" customWidth="1"/>
    <col min="6105" max="6105" width="9.26953125" customWidth="1"/>
    <col min="6106" max="6106" width="10" customWidth="1"/>
    <col min="6107" max="6107" width="11" customWidth="1"/>
    <col min="6352" max="6352" width="3.7265625" bestFit="1" customWidth="1"/>
    <col min="6353" max="6353" width="52.81640625" customWidth="1"/>
    <col min="6354" max="6354" width="6.7265625" customWidth="1"/>
    <col min="6355" max="6355" width="5.54296875" customWidth="1"/>
    <col min="6356" max="6356" width="9.1796875" customWidth="1"/>
    <col min="6357" max="6357" width="8.81640625" customWidth="1"/>
    <col min="6358" max="6358" width="8.7265625" customWidth="1"/>
    <col min="6359" max="6359" width="9" customWidth="1"/>
    <col min="6360" max="6360" width="9.1796875" customWidth="1"/>
    <col min="6361" max="6361" width="9.26953125" customWidth="1"/>
    <col min="6362" max="6362" width="10" customWidth="1"/>
    <col min="6363" max="6363" width="11" customWidth="1"/>
    <col min="6608" max="6608" width="3.7265625" bestFit="1" customWidth="1"/>
    <col min="6609" max="6609" width="52.81640625" customWidth="1"/>
    <col min="6610" max="6610" width="6.7265625" customWidth="1"/>
    <col min="6611" max="6611" width="5.54296875" customWidth="1"/>
    <col min="6612" max="6612" width="9.1796875" customWidth="1"/>
    <col min="6613" max="6613" width="8.81640625" customWidth="1"/>
    <col min="6614" max="6614" width="8.7265625" customWidth="1"/>
    <col min="6615" max="6615" width="9" customWidth="1"/>
    <col min="6616" max="6616" width="9.1796875" customWidth="1"/>
    <col min="6617" max="6617" width="9.26953125" customWidth="1"/>
    <col min="6618" max="6618" width="10" customWidth="1"/>
    <col min="6619" max="6619" width="11" customWidth="1"/>
    <col min="6864" max="6864" width="3.7265625" bestFit="1" customWidth="1"/>
    <col min="6865" max="6865" width="52.81640625" customWidth="1"/>
    <col min="6866" max="6866" width="6.7265625" customWidth="1"/>
    <col min="6867" max="6867" width="5.54296875" customWidth="1"/>
    <col min="6868" max="6868" width="9.1796875" customWidth="1"/>
    <col min="6869" max="6869" width="8.81640625" customWidth="1"/>
    <col min="6870" max="6870" width="8.7265625" customWidth="1"/>
    <col min="6871" max="6871" width="9" customWidth="1"/>
    <col min="6872" max="6872" width="9.1796875" customWidth="1"/>
    <col min="6873" max="6873" width="9.26953125" customWidth="1"/>
    <col min="6874" max="6874" width="10" customWidth="1"/>
    <col min="6875" max="6875" width="11" customWidth="1"/>
    <col min="7120" max="7120" width="3.7265625" bestFit="1" customWidth="1"/>
    <col min="7121" max="7121" width="52.81640625" customWidth="1"/>
    <col min="7122" max="7122" width="6.7265625" customWidth="1"/>
    <col min="7123" max="7123" width="5.54296875" customWidth="1"/>
    <col min="7124" max="7124" width="9.1796875" customWidth="1"/>
    <col min="7125" max="7125" width="8.81640625" customWidth="1"/>
    <col min="7126" max="7126" width="8.7265625" customWidth="1"/>
    <col min="7127" max="7127" width="9" customWidth="1"/>
    <col min="7128" max="7128" width="9.1796875" customWidth="1"/>
    <col min="7129" max="7129" width="9.26953125" customWidth="1"/>
    <col min="7130" max="7130" width="10" customWidth="1"/>
    <col min="7131" max="7131" width="11" customWidth="1"/>
    <col min="7376" max="7376" width="3.7265625" bestFit="1" customWidth="1"/>
    <col min="7377" max="7377" width="52.81640625" customWidth="1"/>
    <col min="7378" max="7378" width="6.7265625" customWidth="1"/>
    <col min="7379" max="7379" width="5.54296875" customWidth="1"/>
    <col min="7380" max="7380" width="9.1796875" customWidth="1"/>
    <col min="7381" max="7381" width="8.81640625" customWidth="1"/>
    <col min="7382" max="7382" width="8.7265625" customWidth="1"/>
    <col min="7383" max="7383" width="9" customWidth="1"/>
    <col min="7384" max="7384" width="9.1796875" customWidth="1"/>
    <col min="7385" max="7385" width="9.26953125" customWidth="1"/>
    <col min="7386" max="7386" width="10" customWidth="1"/>
    <col min="7387" max="7387" width="11" customWidth="1"/>
    <col min="7632" max="7632" width="3.7265625" bestFit="1" customWidth="1"/>
    <col min="7633" max="7633" width="52.81640625" customWidth="1"/>
    <col min="7634" max="7634" width="6.7265625" customWidth="1"/>
    <col min="7635" max="7635" width="5.54296875" customWidth="1"/>
    <col min="7636" max="7636" width="9.1796875" customWidth="1"/>
    <col min="7637" max="7637" width="8.81640625" customWidth="1"/>
    <col min="7638" max="7638" width="8.7265625" customWidth="1"/>
    <col min="7639" max="7639" width="9" customWidth="1"/>
    <col min="7640" max="7640" width="9.1796875" customWidth="1"/>
    <col min="7641" max="7641" width="9.26953125" customWidth="1"/>
    <col min="7642" max="7642" width="10" customWidth="1"/>
    <col min="7643" max="7643" width="11" customWidth="1"/>
    <col min="7888" max="7888" width="3.7265625" bestFit="1" customWidth="1"/>
    <col min="7889" max="7889" width="52.81640625" customWidth="1"/>
    <col min="7890" max="7890" width="6.7265625" customWidth="1"/>
    <col min="7891" max="7891" width="5.54296875" customWidth="1"/>
    <col min="7892" max="7892" width="9.1796875" customWidth="1"/>
    <col min="7893" max="7893" width="8.81640625" customWidth="1"/>
    <col min="7894" max="7894" width="8.7265625" customWidth="1"/>
    <col min="7895" max="7895" width="9" customWidth="1"/>
    <col min="7896" max="7896" width="9.1796875" customWidth="1"/>
    <col min="7897" max="7897" width="9.26953125" customWidth="1"/>
    <col min="7898" max="7898" width="10" customWidth="1"/>
    <col min="7899" max="7899" width="11" customWidth="1"/>
    <col min="8144" max="8144" width="3.7265625" bestFit="1" customWidth="1"/>
    <col min="8145" max="8145" width="52.81640625" customWidth="1"/>
    <col min="8146" max="8146" width="6.7265625" customWidth="1"/>
    <col min="8147" max="8147" width="5.54296875" customWidth="1"/>
    <col min="8148" max="8148" width="9.1796875" customWidth="1"/>
    <col min="8149" max="8149" width="8.81640625" customWidth="1"/>
    <col min="8150" max="8150" width="8.7265625" customWidth="1"/>
    <col min="8151" max="8151" width="9" customWidth="1"/>
    <col min="8152" max="8152" width="9.1796875" customWidth="1"/>
    <col min="8153" max="8153" width="9.26953125" customWidth="1"/>
    <col min="8154" max="8154" width="10" customWidth="1"/>
    <col min="8155" max="8155" width="11" customWidth="1"/>
    <col min="8400" max="8400" width="3.7265625" bestFit="1" customWidth="1"/>
    <col min="8401" max="8401" width="52.81640625" customWidth="1"/>
    <col min="8402" max="8402" width="6.7265625" customWidth="1"/>
    <col min="8403" max="8403" width="5.54296875" customWidth="1"/>
    <col min="8404" max="8404" width="9.1796875" customWidth="1"/>
    <col min="8405" max="8405" width="8.81640625" customWidth="1"/>
    <col min="8406" max="8406" width="8.7265625" customWidth="1"/>
    <col min="8407" max="8407" width="9" customWidth="1"/>
    <col min="8408" max="8408" width="9.1796875" customWidth="1"/>
    <col min="8409" max="8409" width="9.26953125" customWidth="1"/>
    <col min="8410" max="8410" width="10" customWidth="1"/>
    <col min="8411" max="8411" width="11" customWidth="1"/>
    <col min="8656" max="8656" width="3.7265625" bestFit="1" customWidth="1"/>
    <col min="8657" max="8657" width="52.81640625" customWidth="1"/>
    <col min="8658" max="8658" width="6.7265625" customWidth="1"/>
    <col min="8659" max="8659" width="5.54296875" customWidth="1"/>
    <col min="8660" max="8660" width="9.1796875" customWidth="1"/>
    <col min="8661" max="8661" width="8.81640625" customWidth="1"/>
    <col min="8662" max="8662" width="8.7265625" customWidth="1"/>
    <col min="8663" max="8663" width="9" customWidth="1"/>
    <col min="8664" max="8664" width="9.1796875" customWidth="1"/>
    <col min="8665" max="8665" width="9.26953125" customWidth="1"/>
    <col min="8666" max="8666" width="10" customWidth="1"/>
    <col min="8667" max="8667" width="11" customWidth="1"/>
    <col min="8912" max="8912" width="3.7265625" bestFit="1" customWidth="1"/>
    <col min="8913" max="8913" width="52.81640625" customWidth="1"/>
    <col min="8914" max="8914" width="6.7265625" customWidth="1"/>
    <col min="8915" max="8915" width="5.54296875" customWidth="1"/>
    <col min="8916" max="8916" width="9.1796875" customWidth="1"/>
    <col min="8917" max="8917" width="8.81640625" customWidth="1"/>
    <col min="8918" max="8918" width="8.7265625" customWidth="1"/>
    <col min="8919" max="8919" width="9" customWidth="1"/>
    <col min="8920" max="8920" width="9.1796875" customWidth="1"/>
    <col min="8921" max="8921" width="9.26953125" customWidth="1"/>
    <col min="8922" max="8922" width="10" customWidth="1"/>
    <col min="8923" max="8923" width="11" customWidth="1"/>
    <col min="9168" max="9168" width="3.7265625" bestFit="1" customWidth="1"/>
    <col min="9169" max="9169" width="52.81640625" customWidth="1"/>
    <col min="9170" max="9170" width="6.7265625" customWidth="1"/>
    <col min="9171" max="9171" width="5.54296875" customWidth="1"/>
    <col min="9172" max="9172" width="9.1796875" customWidth="1"/>
    <col min="9173" max="9173" width="8.81640625" customWidth="1"/>
    <col min="9174" max="9174" width="8.7265625" customWidth="1"/>
    <col min="9175" max="9175" width="9" customWidth="1"/>
    <col min="9176" max="9176" width="9.1796875" customWidth="1"/>
    <col min="9177" max="9177" width="9.26953125" customWidth="1"/>
    <col min="9178" max="9178" width="10" customWidth="1"/>
    <col min="9179" max="9179" width="11" customWidth="1"/>
    <col min="9424" max="9424" width="3.7265625" bestFit="1" customWidth="1"/>
    <col min="9425" max="9425" width="52.81640625" customWidth="1"/>
    <col min="9426" max="9426" width="6.7265625" customWidth="1"/>
    <col min="9427" max="9427" width="5.54296875" customWidth="1"/>
    <col min="9428" max="9428" width="9.1796875" customWidth="1"/>
    <col min="9429" max="9429" width="8.81640625" customWidth="1"/>
    <col min="9430" max="9430" width="8.7265625" customWidth="1"/>
    <col min="9431" max="9431" width="9" customWidth="1"/>
    <col min="9432" max="9432" width="9.1796875" customWidth="1"/>
    <col min="9433" max="9433" width="9.26953125" customWidth="1"/>
    <col min="9434" max="9434" width="10" customWidth="1"/>
    <col min="9435" max="9435" width="11" customWidth="1"/>
    <col min="9680" max="9680" width="3.7265625" bestFit="1" customWidth="1"/>
    <col min="9681" max="9681" width="52.81640625" customWidth="1"/>
    <col min="9682" max="9682" width="6.7265625" customWidth="1"/>
    <col min="9683" max="9683" width="5.54296875" customWidth="1"/>
    <col min="9684" max="9684" width="9.1796875" customWidth="1"/>
    <col min="9685" max="9685" width="8.81640625" customWidth="1"/>
    <col min="9686" max="9686" width="8.7265625" customWidth="1"/>
    <col min="9687" max="9687" width="9" customWidth="1"/>
    <col min="9688" max="9688" width="9.1796875" customWidth="1"/>
    <col min="9689" max="9689" width="9.26953125" customWidth="1"/>
    <col min="9690" max="9690" width="10" customWidth="1"/>
    <col min="9691" max="9691" width="11" customWidth="1"/>
    <col min="9936" max="9936" width="3.7265625" bestFit="1" customWidth="1"/>
    <col min="9937" max="9937" width="52.81640625" customWidth="1"/>
    <col min="9938" max="9938" width="6.7265625" customWidth="1"/>
    <col min="9939" max="9939" width="5.54296875" customWidth="1"/>
    <col min="9940" max="9940" width="9.1796875" customWidth="1"/>
    <col min="9941" max="9941" width="8.81640625" customWidth="1"/>
    <col min="9942" max="9942" width="8.7265625" customWidth="1"/>
    <col min="9943" max="9943" width="9" customWidth="1"/>
    <col min="9944" max="9944" width="9.1796875" customWidth="1"/>
    <col min="9945" max="9945" width="9.26953125" customWidth="1"/>
    <col min="9946" max="9946" width="10" customWidth="1"/>
    <col min="9947" max="9947" width="11" customWidth="1"/>
    <col min="10192" max="10192" width="3.7265625" bestFit="1" customWidth="1"/>
    <col min="10193" max="10193" width="52.81640625" customWidth="1"/>
    <col min="10194" max="10194" width="6.7265625" customWidth="1"/>
    <col min="10195" max="10195" width="5.54296875" customWidth="1"/>
    <col min="10196" max="10196" width="9.1796875" customWidth="1"/>
    <col min="10197" max="10197" width="8.81640625" customWidth="1"/>
    <col min="10198" max="10198" width="8.7265625" customWidth="1"/>
    <col min="10199" max="10199" width="9" customWidth="1"/>
    <col min="10200" max="10200" width="9.1796875" customWidth="1"/>
    <col min="10201" max="10201" width="9.26953125" customWidth="1"/>
    <col min="10202" max="10202" width="10" customWidth="1"/>
    <col min="10203" max="10203" width="11" customWidth="1"/>
    <col min="10448" max="10448" width="3.7265625" bestFit="1" customWidth="1"/>
    <col min="10449" max="10449" width="52.81640625" customWidth="1"/>
    <col min="10450" max="10450" width="6.7265625" customWidth="1"/>
    <col min="10451" max="10451" width="5.54296875" customWidth="1"/>
    <col min="10452" max="10452" width="9.1796875" customWidth="1"/>
    <col min="10453" max="10453" width="8.81640625" customWidth="1"/>
    <col min="10454" max="10454" width="8.7265625" customWidth="1"/>
    <col min="10455" max="10455" width="9" customWidth="1"/>
    <col min="10456" max="10456" width="9.1796875" customWidth="1"/>
    <col min="10457" max="10457" width="9.26953125" customWidth="1"/>
    <col min="10458" max="10458" width="10" customWidth="1"/>
    <col min="10459" max="10459" width="11" customWidth="1"/>
    <col min="10704" max="10704" width="3.7265625" bestFit="1" customWidth="1"/>
    <col min="10705" max="10705" width="52.81640625" customWidth="1"/>
    <col min="10706" max="10706" width="6.7265625" customWidth="1"/>
    <col min="10707" max="10707" width="5.54296875" customWidth="1"/>
    <col min="10708" max="10708" width="9.1796875" customWidth="1"/>
    <col min="10709" max="10709" width="8.81640625" customWidth="1"/>
    <col min="10710" max="10710" width="8.7265625" customWidth="1"/>
    <col min="10711" max="10711" width="9" customWidth="1"/>
    <col min="10712" max="10712" width="9.1796875" customWidth="1"/>
    <col min="10713" max="10713" width="9.26953125" customWidth="1"/>
    <col min="10714" max="10714" width="10" customWidth="1"/>
    <col min="10715" max="10715" width="11" customWidth="1"/>
    <col min="10960" max="10960" width="3.7265625" bestFit="1" customWidth="1"/>
    <col min="10961" max="10961" width="52.81640625" customWidth="1"/>
    <col min="10962" max="10962" width="6.7265625" customWidth="1"/>
    <col min="10963" max="10963" width="5.54296875" customWidth="1"/>
    <col min="10964" max="10964" width="9.1796875" customWidth="1"/>
    <col min="10965" max="10965" width="8.81640625" customWidth="1"/>
    <col min="10966" max="10966" width="8.7265625" customWidth="1"/>
    <col min="10967" max="10967" width="9" customWidth="1"/>
    <col min="10968" max="10968" width="9.1796875" customWidth="1"/>
    <col min="10969" max="10969" width="9.26953125" customWidth="1"/>
    <col min="10970" max="10970" width="10" customWidth="1"/>
    <col min="10971" max="10971" width="11" customWidth="1"/>
    <col min="11216" max="11216" width="3.7265625" bestFit="1" customWidth="1"/>
    <col min="11217" max="11217" width="52.81640625" customWidth="1"/>
    <col min="11218" max="11218" width="6.7265625" customWidth="1"/>
    <col min="11219" max="11219" width="5.54296875" customWidth="1"/>
    <col min="11220" max="11220" width="9.1796875" customWidth="1"/>
    <col min="11221" max="11221" width="8.81640625" customWidth="1"/>
    <col min="11222" max="11222" width="8.7265625" customWidth="1"/>
    <col min="11223" max="11223" width="9" customWidth="1"/>
    <col min="11224" max="11224" width="9.1796875" customWidth="1"/>
    <col min="11225" max="11225" width="9.26953125" customWidth="1"/>
    <col min="11226" max="11226" width="10" customWidth="1"/>
    <col min="11227" max="11227" width="11" customWidth="1"/>
    <col min="11472" max="11472" width="3.7265625" bestFit="1" customWidth="1"/>
    <col min="11473" max="11473" width="52.81640625" customWidth="1"/>
    <col min="11474" max="11474" width="6.7265625" customWidth="1"/>
    <col min="11475" max="11475" width="5.54296875" customWidth="1"/>
    <col min="11476" max="11476" width="9.1796875" customWidth="1"/>
    <col min="11477" max="11477" width="8.81640625" customWidth="1"/>
    <col min="11478" max="11478" width="8.7265625" customWidth="1"/>
    <col min="11479" max="11479" width="9" customWidth="1"/>
    <col min="11480" max="11480" width="9.1796875" customWidth="1"/>
    <col min="11481" max="11481" width="9.26953125" customWidth="1"/>
    <col min="11482" max="11482" width="10" customWidth="1"/>
    <col min="11483" max="11483" width="11" customWidth="1"/>
    <col min="11728" max="11728" width="3.7265625" bestFit="1" customWidth="1"/>
    <col min="11729" max="11729" width="52.81640625" customWidth="1"/>
    <col min="11730" max="11730" width="6.7265625" customWidth="1"/>
    <col min="11731" max="11731" width="5.54296875" customWidth="1"/>
    <col min="11732" max="11732" width="9.1796875" customWidth="1"/>
    <col min="11733" max="11733" width="8.81640625" customWidth="1"/>
    <col min="11734" max="11734" width="8.7265625" customWidth="1"/>
    <col min="11735" max="11735" width="9" customWidth="1"/>
    <col min="11736" max="11736" width="9.1796875" customWidth="1"/>
    <col min="11737" max="11737" width="9.26953125" customWidth="1"/>
    <col min="11738" max="11738" width="10" customWidth="1"/>
    <col min="11739" max="11739" width="11" customWidth="1"/>
    <col min="11984" max="11984" width="3.7265625" bestFit="1" customWidth="1"/>
    <col min="11985" max="11985" width="52.81640625" customWidth="1"/>
    <col min="11986" max="11986" width="6.7265625" customWidth="1"/>
    <col min="11987" max="11987" width="5.54296875" customWidth="1"/>
    <col min="11988" max="11988" width="9.1796875" customWidth="1"/>
    <col min="11989" max="11989" width="8.81640625" customWidth="1"/>
    <col min="11990" max="11990" width="8.7265625" customWidth="1"/>
    <col min="11991" max="11991" width="9" customWidth="1"/>
    <col min="11992" max="11992" width="9.1796875" customWidth="1"/>
    <col min="11993" max="11993" width="9.26953125" customWidth="1"/>
    <col min="11994" max="11994" width="10" customWidth="1"/>
    <col min="11995" max="11995" width="11" customWidth="1"/>
    <col min="12240" max="12240" width="3.7265625" bestFit="1" customWidth="1"/>
    <col min="12241" max="12241" width="52.81640625" customWidth="1"/>
    <col min="12242" max="12242" width="6.7265625" customWidth="1"/>
    <col min="12243" max="12243" width="5.54296875" customWidth="1"/>
    <col min="12244" max="12244" width="9.1796875" customWidth="1"/>
    <col min="12245" max="12245" width="8.81640625" customWidth="1"/>
    <col min="12246" max="12246" width="8.7265625" customWidth="1"/>
    <col min="12247" max="12247" width="9" customWidth="1"/>
    <col min="12248" max="12248" width="9.1796875" customWidth="1"/>
    <col min="12249" max="12249" width="9.26953125" customWidth="1"/>
    <col min="12250" max="12250" width="10" customWidth="1"/>
    <col min="12251" max="12251" width="11" customWidth="1"/>
    <col min="12496" max="12496" width="3.7265625" bestFit="1" customWidth="1"/>
    <col min="12497" max="12497" width="52.81640625" customWidth="1"/>
    <col min="12498" max="12498" width="6.7265625" customWidth="1"/>
    <col min="12499" max="12499" width="5.54296875" customWidth="1"/>
    <col min="12500" max="12500" width="9.1796875" customWidth="1"/>
    <col min="12501" max="12501" width="8.81640625" customWidth="1"/>
    <col min="12502" max="12502" width="8.7265625" customWidth="1"/>
    <col min="12503" max="12503" width="9" customWidth="1"/>
    <col min="12504" max="12504" width="9.1796875" customWidth="1"/>
    <col min="12505" max="12505" width="9.26953125" customWidth="1"/>
    <col min="12506" max="12506" width="10" customWidth="1"/>
    <col min="12507" max="12507" width="11" customWidth="1"/>
    <col min="12752" max="12752" width="3.7265625" bestFit="1" customWidth="1"/>
    <col min="12753" max="12753" width="52.81640625" customWidth="1"/>
    <col min="12754" max="12754" width="6.7265625" customWidth="1"/>
    <col min="12755" max="12755" width="5.54296875" customWidth="1"/>
    <col min="12756" max="12756" width="9.1796875" customWidth="1"/>
    <col min="12757" max="12757" width="8.81640625" customWidth="1"/>
    <col min="12758" max="12758" width="8.7265625" customWidth="1"/>
    <col min="12759" max="12759" width="9" customWidth="1"/>
    <col min="12760" max="12760" width="9.1796875" customWidth="1"/>
    <col min="12761" max="12761" width="9.26953125" customWidth="1"/>
    <col min="12762" max="12762" width="10" customWidth="1"/>
    <col min="12763" max="12763" width="11" customWidth="1"/>
    <col min="13008" max="13008" width="3.7265625" bestFit="1" customWidth="1"/>
    <col min="13009" max="13009" width="52.81640625" customWidth="1"/>
    <col min="13010" max="13010" width="6.7265625" customWidth="1"/>
    <col min="13011" max="13011" width="5.54296875" customWidth="1"/>
    <col min="13012" max="13012" width="9.1796875" customWidth="1"/>
    <col min="13013" max="13013" width="8.81640625" customWidth="1"/>
    <col min="13014" max="13014" width="8.7265625" customWidth="1"/>
    <col min="13015" max="13015" width="9" customWidth="1"/>
    <col min="13016" max="13016" width="9.1796875" customWidth="1"/>
    <col min="13017" max="13017" width="9.26953125" customWidth="1"/>
    <col min="13018" max="13018" width="10" customWidth="1"/>
    <col min="13019" max="13019" width="11" customWidth="1"/>
    <col min="13264" max="13264" width="3.7265625" bestFit="1" customWidth="1"/>
    <col min="13265" max="13265" width="52.81640625" customWidth="1"/>
    <col min="13266" max="13266" width="6.7265625" customWidth="1"/>
    <col min="13267" max="13267" width="5.54296875" customWidth="1"/>
    <col min="13268" max="13268" width="9.1796875" customWidth="1"/>
    <col min="13269" max="13269" width="8.81640625" customWidth="1"/>
    <col min="13270" max="13270" width="8.7265625" customWidth="1"/>
    <col min="13271" max="13271" width="9" customWidth="1"/>
    <col min="13272" max="13272" width="9.1796875" customWidth="1"/>
    <col min="13273" max="13273" width="9.26953125" customWidth="1"/>
    <col min="13274" max="13274" width="10" customWidth="1"/>
    <col min="13275" max="13275" width="11" customWidth="1"/>
    <col min="13520" max="13520" width="3.7265625" bestFit="1" customWidth="1"/>
    <col min="13521" max="13521" width="52.81640625" customWidth="1"/>
    <col min="13522" max="13522" width="6.7265625" customWidth="1"/>
    <col min="13523" max="13523" width="5.54296875" customWidth="1"/>
    <col min="13524" max="13524" width="9.1796875" customWidth="1"/>
    <col min="13525" max="13525" width="8.81640625" customWidth="1"/>
    <col min="13526" max="13526" width="8.7265625" customWidth="1"/>
    <col min="13527" max="13527" width="9" customWidth="1"/>
    <col min="13528" max="13528" width="9.1796875" customWidth="1"/>
    <col min="13529" max="13529" width="9.26953125" customWidth="1"/>
    <col min="13530" max="13530" width="10" customWidth="1"/>
    <col min="13531" max="13531" width="11" customWidth="1"/>
    <col min="13776" max="13776" width="3.7265625" bestFit="1" customWidth="1"/>
    <col min="13777" max="13777" width="52.81640625" customWidth="1"/>
    <col min="13778" max="13778" width="6.7265625" customWidth="1"/>
    <col min="13779" max="13779" width="5.54296875" customWidth="1"/>
    <col min="13780" max="13780" width="9.1796875" customWidth="1"/>
    <col min="13781" max="13781" width="8.81640625" customWidth="1"/>
    <col min="13782" max="13782" width="8.7265625" customWidth="1"/>
    <col min="13783" max="13783" width="9" customWidth="1"/>
    <col min="13784" max="13784" width="9.1796875" customWidth="1"/>
    <col min="13785" max="13785" width="9.26953125" customWidth="1"/>
    <col min="13786" max="13786" width="10" customWidth="1"/>
    <col min="13787" max="13787" width="11" customWidth="1"/>
    <col min="14032" max="14032" width="3.7265625" bestFit="1" customWidth="1"/>
    <col min="14033" max="14033" width="52.81640625" customWidth="1"/>
    <col min="14034" max="14034" width="6.7265625" customWidth="1"/>
    <col min="14035" max="14035" width="5.54296875" customWidth="1"/>
    <col min="14036" max="14036" width="9.1796875" customWidth="1"/>
    <col min="14037" max="14037" width="8.81640625" customWidth="1"/>
    <col min="14038" max="14038" width="8.7265625" customWidth="1"/>
    <col min="14039" max="14039" width="9" customWidth="1"/>
    <col min="14040" max="14040" width="9.1796875" customWidth="1"/>
    <col min="14041" max="14041" width="9.26953125" customWidth="1"/>
    <col min="14042" max="14042" width="10" customWidth="1"/>
    <col min="14043" max="14043" width="11" customWidth="1"/>
    <col min="14288" max="14288" width="3.7265625" bestFit="1" customWidth="1"/>
    <col min="14289" max="14289" width="52.81640625" customWidth="1"/>
    <col min="14290" max="14290" width="6.7265625" customWidth="1"/>
    <col min="14291" max="14291" width="5.54296875" customWidth="1"/>
    <col min="14292" max="14292" width="9.1796875" customWidth="1"/>
    <col min="14293" max="14293" width="8.81640625" customWidth="1"/>
    <col min="14294" max="14294" width="8.7265625" customWidth="1"/>
    <col min="14295" max="14295" width="9" customWidth="1"/>
    <col min="14296" max="14296" width="9.1796875" customWidth="1"/>
    <col min="14297" max="14297" width="9.26953125" customWidth="1"/>
    <col min="14298" max="14298" width="10" customWidth="1"/>
    <col min="14299" max="14299" width="11" customWidth="1"/>
    <col min="14544" max="14544" width="3.7265625" bestFit="1" customWidth="1"/>
    <col min="14545" max="14545" width="52.81640625" customWidth="1"/>
    <col min="14546" max="14546" width="6.7265625" customWidth="1"/>
    <col min="14547" max="14547" width="5.54296875" customWidth="1"/>
    <col min="14548" max="14548" width="9.1796875" customWidth="1"/>
    <col min="14549" max="14549" width="8.81640625" customWidth="1"/>
    <col min="14550" max="14550" width="8.7265625" customWidth="1"/>
    <col min="14551" max="14551" width="9" customWidth="1"/>
    <col min="14552" max="14552" width="9.1796875" customWidth="1"/>
    <col min="14553" max="14553" width="9.26953125" customWidth="1"/>
    <col min="14554" max="14554" width="10" customWidth="1"/>
    <col min="14555" max="14555" width="11" customWidth="1"/>
    <col min="14800" max="14800" width="3.7265625" bestFit="1" customWidth="1"/>
    <col min="14801" max="14801" width="52.81640625" customWidth="1"/>
    <col min="14802" max="14802" width="6.7265625" customWidth="1"/>
    <col min="14803" max="14803" width="5.54296875" customWidth="1"/>
    <col min="14804" max="14804" width="9.1796875" customWidth="1"/>
    <col min="14805" max="14805" width="8.81640625" customWidth="1"/>
    <col min="14806" max="14806" width="8.7265625" customWidth="1"/>
    <col min="14807" max="14807" width="9" customWidth="1"/>
    <col min="14808" max="14808" width="9.1796875" customWidth="1"/>
    <col min="14809" max="14809" width="9.26953125" customWidth="1"/>
    <col min="14810" max="14810" width="10" customWidth="1"/>
    <col min="14811" max="14811" width="11" customWidth="1"/>
    <col min="15056" max="15056" width="3.7265625" bestFit="1" customWidth="1"/>
    <col min="15057" max="15057" width="52.81640625" customWidth="1"/>
    <col min="15058" max="15058" width="6.7265625" customWidth="1"/>
    <col min="15059" max="15059" width="5.54296875" customWidth="1"/>
    <col min="15060" max="15060" width="9.1796875" customWidth="1"/>
    <col min="15061" max="15061" width="8.81640625" customWidth="1"/>
    <col min="15062" max="15062" width="8.7265625" customWidth="1"/>
    <col min="15063" max="15063" width="9" customWidth="1"/>
    <col min="15064" max="15064" width="9.1796875" customWidth="1"/>
    <col min="15065" max="15065" width="9.26953125" customWidth="1"/>
    <col min="15066" max="15066" width="10" customWidth="1"/>
    <col min="15067" max="15067" width="11" customWidth="1"/>
    <col min="15312" max="15312" width="3.7265625" bestFit="1" customWidth="1"/>
    <col min="15313" max="15313" width="52.81640625" customWidth="1"/>
    <col min="15314" max="15314" width="6.7265625" customWidth="1"/>
    <col min="15315" max="15315" width="5.54296875" customWidth="1"/>
    <col min="15316" max="15316" width="9.1796875" customWidth="1"/>
    <col min="15317" max="15317" width="8.81640625" customWidth="1"/>
    <col min="15318" max="15318" width="8.7265625" customWidth="1"/>
    <col min="15319" max="15319" width="9" customWidth="1"/>
    <col min="15320" max="15320" width="9.1796875" customWidth="1"/>
    <col min="15321" max="15321" width="9.26953125" customWidth="1"/>
    <col min="15322" max="15322" width="10" customWidth="1"/>
    <col min="15323" max="15323" width="11" customWidth="1"/>
    <col min="15568" max="15568" width="3.7265625" bestFit="1" customWidth="1"/>
    <col min="15569" max="15569" width="52.81640625" customWidth="1"/>
    <col min="15570" max="15570" width="6.7265625" customWidth="1"/>
    <col min="15571" max="15571" width="5.54296875" customWidth="1"/>
    <col min="15572" max="15572" width="9.1796875" customWidth="1"/>
    <col min="15573" max="15573" width="8.81640625" customWidth="1"/>
    <col min="15574" max="15574" width="8.7265625" customWidth="1"/>
    <col min="15575" max="15575" width="9" customWidth="1"/>
    <col min="15576" max="15576" width="9.1796875" customWidth="1"/>
    <col min="15577" max="15577" width="9.26953125" customWidth="1"/>
    <col min="15578" max="15578" width="10" customWidth="1"/>
    <col min="15579" max="15579" width="11" customWidth="1"/>
    <col min="15824" max="15824" width="3.7265625" bestFit="1" customWidth="1"/>
    <col min="15825" max="15825" width="52.81640625" customWidth="1"/>
    <col min="15826" max="15826" width="6.7265625" customWidth="1"/>
    <col min="15827" max="15827" width="5.54296875" customWidth="1"/>
    <col min="15828" max="15828" width="9.1796875" customWidth="1"/>
    <col min="15829" max="15829" width="8.81640625" customWidth="1"/>
    <col min="15830" max="15830" width="8.7265625" customWidth="1"/>
    <col min="15831" max="15831" width="9" customWidth="1"/>
    <col min="15832" max="15832" width="9.1796875" customWidth="1"/>
    <col min="15833" max="15833" width="9.26953125" customWidth="1"/>
    <col min="15834" max="15834" width="10" customWidth="1"/>
    <col min="15835" max="15835" width="11" customWidth="1"/>
    <col min="16080" max="16080" width="3.7265625" bestFit="1" customWidth="1"/>
    <col min="16081" max="16081" width="52.81640625" customWidth="1"/>
    <col min="16082" max="16082" width="6.7265625" customWidth="1"/>
    <col min="16083" max="16083" width="5.54296875" customWidth="1"/>
    <col min="16084" max="16084" width="9.1796875" customWidth="1"/>
    <col min="16085" max="16085" width="8.81640625" customWidth="1"/>
    <col min="16086" max="16086" width="8.7265625" customWidth="1"/>
    <col min="16087" max="16087" width="9" customWidth="1"/>
    <col min="16088" max="16088" width="9.1796875" customWidth="1"/>
    <col min="16089" max="16089" width="9.26953125" customWidth="1"/>
    <col min="16090" max="16090" width="10" customWidth="1"/>
    <col min="16091" max="16091" width="11" customWidth="1"/>
  </cols>
  <sheetData>
    <row r="1" spans="1:12" ht="21" customHeight="1" thickBot="1" x14ac:dyDescent="0.3">
      <c r="A1" s="584" t="s">
        <v>308</v>
      </c>
      <c r="B1" s="585"/>
      <c r="C1" s="585"/>
      <c r="D1" s="585"/>
      <c r="E1" s="585"/>
      <c r="F1" s="585"/>
      <c r="G1" s="585"/>
      <c r="H1" s="585"/>
      <c r="I1" s="585"/>
      <c r="J1" s="585"/>
      <c r="K1" s="585"/>
      <c r="L1" s="586"/>
    </row>
    <row r="2" spans="1:12" ht="13" customHeight="1" x14ac:dyDescent="0.25">
      <c r="A2" s="247" t="s">
        <v>40</v>
      </c>
      <c r="B2" s="682" t="s">
        <v>309</v>
      </c>
      <c r="C2" s="587"/>
      <c r="D2" s="587"/>
      <c r="E2" s="262" t="s">
        <v>277</v>
      </c>
      <c r="F2" s="683"/>
      <c r="G2" s="684"/>
      <c r="H2" s="684"/>
      <c r="I2" s="684"/>
      <c r="J2" s="262" t="s">
        <v>278</v>
      </c>
      <c r="K2" s="587" t="s">
        <v>310</v>
      </c>
      <c r="L2" s="588"/>
    </row>
    <row r="3" spans="1:12" ht="13" customHeight="1" x14ac:dyDescent="0.25">
      <c r="A3" s="248" t="s">
        <v>42</v>
      </c>
      <c r="B3" s="681" t="s">
        <v>311</v>
      </c>
      <c r="C3" s="593"/>
      <c r="D3" s="593"/>
      <c r="E3" s="186" t="s">
        <v>277</v>
      </c>
      <c r="F3" s="595"/>
      <c r="G3" s="599"/>
      <c r="H3" s="599"/>
      <c r="I3" s="599"/>
      <c r="J3" s="186" t="s">
        <v>278</v>
      </c>
      <c r="K3" s="593" t="s">
        <v>312</v>
      </c>
      <c r="L3" s="594"/>
    </row>
    <row r="4" spans="1:12" ht="13" customHeight="1" x14ac:dyDescent="0.25">
      <c r="A4" s="249" t="s">
        <v>45</v>
      </c>
      <c r="B4" s="673" t="s">
        <v>313</v>
      </c>
      <c r="C4" s="591"/>
      <c r="D4" s="591"/>
      <c r="E4" s="187" t="s">
        <v>277</v>
      </c>
      <c r="F4" s="596"/>
      <c r="G4" s="680"/>
      <c r="H4" s="680"/>
      <c r="I4" s="680"/>
      <c r="J4" s="187" t="s">
        <v>278</v>
      </c>
      <c r="K4" s="591" t="s">
        <v>314</v>
      </c>
      <c r="L4" s="592"/>
    </row>
    <row r="5" spans="1:12" ht="13" x14ac:dyDescent="0.25">
      <c r="A5" s="201" t="s">
        <v>48</v>
      </c>
      <c r="B5" s="681"/>
      <c r="C5" s="593"/>
      <c r="D5" s="593"/>
      <c r="E5" s="186" t="s">
        <v>277</v>
      </c>
      <c r="F5" s="595"/>
      <c r="G5" s="589"/>
      <c r="H5" s="589"/>
      <c r="I5" s="589"/>
      <c r="J5" s="186" t="s">
        <v>278</v>
      </c>
      <c r="K5" s="593"/>
      <c r="L5" s="594"/>
    </row>
    <row r="6" spans="1:12" ht="13" x14ac:dyDescent="0.25">
      <c r="A6" s="202" t="s">
        <v>84</v>
      </c>
      <c r="B6" s="673"/>
      <c r="C6" s="591"/>
      <c r="D6" s="591"/>
      <c r="E6" s="187" t="s">
        <v>277</v>
      </c>
      <c r="F6" s="596"/>
      <c r="G6" s="591"/>
      <c r="H6" s="591"/>
      <c r="I6" s="591"/>
      <c r="J6" s="187" t="s">
        <v>278</v>
      </c>
      <c r="K6" s="591"/>
      <c r="L6" s="592"/>
    </row>
    <row r="7" spans="1:12" ht="13.5" thickBot="1" x14ac:dyDescent="0.3">
      <c r="A7" s="203" t="s">
        <v>86</v>
      </c>
      <c r="B7" s="674"/>
      <c r="C7" s="675"/>
      <c r="D7" s="675"/>
      <c r="E7" s="188" t="s">
        <v>277</v>
      </c>
      <c r="F7" s="676"/>
      <c r="G7" s="677"/>
      <c r="H7" s="677"/>
      <c r="I7" s="678"/>
      <c r="J7" s="189" t="s">
        <v>278</v>
      </c>
      <c r="K7" s="675"/>
      <c r="L7" s="679"/>
    </row>
    <row r="8" spans="1:12" ht="13" x14ac:dyDescent="0.25">
      <c r="A8" s="604" t="s">
        <v>283</v>
      </c>
      <c r="B8" s="607" t="s">
        <v>315</v>
      </c>
      <c r="C8" s="610" t="s">
        <v>285</v>
      </c>
      <c r="D8" s="613" t="s">
        <v>286</v>
      </c>
      <c r="E8" s="616" t="s">
        <v>287</v>
      </c>
      <c r="F8" s="617"/>
      <c r="G8" s="617"/>
      <c r="H8" s="617"/>
      <c r="I8" s="617"/>
      <c r="J8" s="618"/>
      <c r="K8" s="619" t="s">
        <v>288</v>
      </c>
      <c r="L8" s="620"/>
    </row>
    <row r="9" spans="1:12" ht="13.5" x14ac:dyDescent="0.25">
      <c r="A9" s="605"/>
      <c r="B9" s="669"/>
      <c r="C9" s="611"/>
      <c r="D9" s="614"/>
      <c r="E9" s="190" t="s">
        <v>40</v>
      </c>
      <c r="F9" s="191" t="s">
        <v>42</v>
      </c>
      <c r="G9" s="191" t="s">
        <v>45</v>
      </c>
      <c r="H9" s="191" t="s">
        <v>48</v>
      </c>
      <c r="I9" s="191" t="s">
        <v>84</v>
      </c>
      <c r="J9" s="192" t="s">
        <v>86</v>
      </c>
      <c r="K9" s="621" t="s">
        <v>289</v>
      </c>
      <c r="L9" s="623" t="s">
        <v>290</v>
      </c>
    </row>
    <row r="10" spans="1:12" ht="20.25" customHeight="1" x14ac:dyDescent="0.25">
      <c r="A10" s="668"/>
      <c r="B10" s="670"/>
      <c r="C10" s="671"/>
      <c r="D10" s="672"/>
      <c r="E10" s="210" t="s">
        <v>291</v>
      </c>
      <c r="F10" s="211" t="s">
        <v>291</v>
      </c>
      <c r="G10" s="211" t="s">
        <v>291</v>
      </c>
      <c r="H10" s="211" t="s">
        <v>291</v>
      </c>
      <c r="I10" s="211" t="s">
        <v>291</v>
      </c>
      <c r="J10" s="212" t="s">
        <v>291</v>
      </c>
      <c r="K10" s="666"/>
      <c r="L10" s="667"/>
    </row>
    <row r="11" spans="1:12" s="194" customFormat="1" ht="25.5" x14ac:dyDescent="0.25">
      <c r="A11" s="277">
        <v>1</v>
      </c>
      <c r="B11" s="402" t="s">
        <v>316</v>
      </c>
      <c r="C11" s="390" t="s">
        <v>317</v>
      </c>
      <c r="D11" s="391">
        <v>60</v>
      </c>
      <c r="E11" s="384">
        <v>56</v>
      </c>
      <c r="F11" s="384">
        <v>51.74</v>
      </c>
      <c r="G11" s="384">
        <v>49.25</v>
      </c>
      <c r="H11" s="384">
        <v>49</v>
      </c>
      <c r="I11" s="384">
        <v>59.9</v>
      </c>
      <c r="J11" s="384">
        <v>62</v>
      </c>
      <c r="K11" s="280">
        <f>AVERAGE(E11:J11)</f>
        <v>54.648333333333333</v>
      </c>
      <c r="L11" s="281">
        <f>K11*D11</f>
        <v>3278.9</v>
      </c>
    </row>
    <row r="12" spans="1:12" s="194" customFormat="1" ht="63.5" x14ac:dyDescent="0.25">
      <c r="A12" s="276">
        <v>2</v>
      </c>
      <c r="B12" s="402" t="s">
        <v>318</v>
      </c>
      <c r="C12" s="403" t="s">
        <v>319</v>
      </c>
      <c r="D12" s="391">
        <v>7</v>
      </c>
      <c r="E12" s="384">
        <v>12.5</v>
      </c>
      <c r="F12" s="384">
        <v>11.99</v>
      </c>
      <c r="G12" s="384">
        <v>10.25</v>
      </c>
      <c r="H12" s="384">
        <v>27.72</v>
      </c>
      <c r="I12" s="384">
        <v>19.8</v>
      </c>
      <c r="J12" s="384">
        <v>25.39</v>
      </c>
      <c r="K12" s="280">
        <f>AVERAGE(E12:J12)</f>
        <v>17.941666666666666</v>
      </c>
      <c r="L12" s="282">
        <f>K12*D12</f>
        <v>125.59166666666667</v>
      </c>
    </row>
    <row r="13" spans="1:12" s="194" customFormat="1" ht="51" x14ac:dyDescent="0.25">
      <c r="A13" s="276">
        <v>3</v>
      </c>
      <c r="B13" s="404" t="s">
        <v>320</v>
      </c>
      <c r="C13" s="403" t="s">
        <v>319</v>
      </c>
      <c r="D13" s="391">
        <v>7</v>
      </c>
      <c r="E13" s="384">
        <v>11.39</v>
      </c>
      <c r="F13" s="384">
        <v>13.11</v>
      </c>
      <c r="G13" s="384">
        <v>17.22</v>
      </c>
      <c r="H13" s="384">
        <v>21.97</v>
      </c>
      <c r="I13" s="384">
        <v>18.899999999999999</v>
      </c>
      <c r="J13" s="384">
        <v>19.239999999999998</v>
      </c>
      <c r="K13" s="283">
        <f>AVERAGE(E13:J13)</f>
        <v>16.971666666666668</v>
      </c>
      <c r="L13" s="282">
        <f>K13*D13</f>
        <v>118.80166666666668</v>
      </c>
    </row>
    <row r="14" spans="1:12" s="194" customFormat="1" ht="50.5" x14ac:dyDescent="0.25">
      <c r="A14" s="276">
        <v>4</v>
      </c>
      <c r="B14" s="404" t="s">
        <v>321</v>
      </c>
      <c r="C14" s="403" t="s">
        <v>319</v>
      </c>
      <c r="D14" s="391">
        <v>7</v>
      </c>
      <c r="E14" s="384">
        <v>28.9</v>
      </c>
      <c r="F14" s="384">
        <v>29</v>
      </c>
      <c r="G14" s="384">
        <v>26.5</v>
      </c>
      <c r="H14" s="384">
        <v>27.2</v>
      </c>
      <c r="I14" s="384">
        <v>34.9</v>
      </c>
      <c r="J14" s="384"/>
      <c r="K14" s="283">
        <f t="shared" ref="K14:K29" si="0">AVERAGE(E14:J14)</f>
        <v>29.3</v>
      </c>
      <c r="L14" s="282">
        <f>K14*D14</f>
        <v>205.1</v>
      </c>
    </row>
    <row r="15" spans="1:12" s="194" customFormat="1" ht="51" x14ac:dyDescent="0.25">
      <c r="A15" s="276">
        <v>5</v>
      </c>
      <c r="B15" s="404" t="s">
        <v>322</v>
      </c>
      <c r="C15" s="390" t="s">
        <v>323</v>
      </c>
      <c r="D15" s="391">
        <v>10</v>
      </c>
      <c r="E15" s="384">
        <v>13.89</v>
      </c>
      <c r="F15" s="384">
        <v>16.5</v>
      </c>
      <c r="G15" s="384">
        <v>15.58</v>
      </c>
      <c r="H15" s="384">
        <v>16.8</v>
      </c>
      <c r="I15" s="384"/>
      <c r="J15" s="384"/>
      <c r="K15" s="283">
        <f t="shared" si="0"/>
        <v>15.692499999999999</v>
      </c>
      <c r="L15" s="282">
        <f t="shared" ref="L15:L29" si="1">K15*D15</f>
        <v>156.92499999999998</v>
      </c>
    </row>
    <row r="16" spans="1:12" s="194" customFormat="1" ht="75.75" customHeight="1" x14ac:dyDescent="0.25">
      <c r="A16" s="276">
        <v>6</v>
      </c>
      <c r="B16" s="404" t="s">
        <v>324</v>
      </c>
      <c r="C16" s="390" t="s">
        <v>325</v>
      </c>
      <c r="D16" s="391">
        <v>40</v>
      </c>
      <c r="E16" s="384">
        <v>18.5</v>
      </c>
      <c r="F16" s="384">
        <v>15.85</v>
      </c>
      <c r="G16" s="384">
        <v>12</v>
      </c>
      <c r="H16" s="384">
        <v>16.100000000000001</v>
      </c>
      <c r="I16" s="384">
        <v>14.35</v>
      </c>
      <c r="J16" s="384"/>
      <c r="K16" s="283">
        <f t="shared" si="0"/>
        <v>15.36</v>
      </c>
      <c r="L16" s="282">
        <f t="shared" si="1"/>
        <v>614.4</v>
      </c>
    </row>
    <row r="17" spans="1:13" s="194" customFormat="1" ht="76" x14ac:dyDescent="0.25">
      <c r="A17" s="276">
        <v>7</v>
      </c>
      <c r="B17" s="404" t="s">
        <v>326</v>
      </c>
      <c r="C17" s="390" t="s">
        <v>325</v>
      </c>
      <c r="D17" s="391">
        <v>4</v>
      </c>
      <c r="E17" s="384">
        <v>14.25</v>
      </c>
      <c r="F17" s="384">
        <v>14</v>
      </c>
      <c r="G17" s="384">
        <v>13.79</v>
      </c>
      <c r="H17" s="384">
        <v>20.9</v>
      </c>
      <c r="I17" s="384">
        <v>25.76</v>
      </c>
      <c r="J17" s="384">
        <v>18.72</v>
      </c>
      <c r="K17" s="283">
        <f t="shared" si="0"/>
        <v>17.903333333333332</v>
      </c>
      <c r="L17" s="282">
        <f t="shared" si="1"/>
        <v>71.61333333333333</v>
      </c>
    </row>
    <row r="18" spans="1:13" s="194" customFormat="1" ht="63.75" customHeight="1" x14ac:dyDescent="0.25">
      <c r="A18" s="276">
        <v>8</v>
      </c>
      <c r="B18" s="404" t="s">
        <v>327</v>
      </c>
      <c r="C18" s="390" t="s">
        <v>325</v>
      </c>
      <c r="D18" s="391">
        <v>2</v>
      </c>
      <c r="E18" s="384">
        <v>10</v>
      </c>
      <c r="F18" s="384">
        <v>11.9</v>
      </c>
      <c r="G18" s="384">
        <v>13.89</v>
      </c>
      <c r="H18" s="384">
        <v>12.99</v>
      </c>
      <c r="I18" s="384">
        <v>8.99</v>
      </c>
      <c r="J18" s="384">
        <v>12.98</v>
      </c>
      <c r="K18" s="283">
        <f>AVERAGE(E18:J18)</f>
        <v>11.791666666666666</v>
      </c>
      <c r="L18" s="282">
        <f>K18*D18</f>
        <v>23.583333333333332</v>
      </c>
    </row>
    <row r="19" spans="1:13" s="194" customFormat="1" ht="35.25" customHeight="1" x14ac:dyDescent="0.25">
      <c r="A19" s="276">
        <v>9</v>
      </c>
      <c r="B19" s="404" t="s">
        <v>328</v>
      </c>
      <c r="C19" s="390" t="s">
        <v>325</v>
      </c>
      <c r="D19" s="391">
        <v>12</v>
      </c>
      <c r="E19" s="384">
        <v>12</v>
      </c>
      <c r="F19" s="384">
        <v>13.94</v>
      </c>
      <c r="G19" s="384">
        <v>15.56</v>
      </c>
      <c r="H19" s="384">
        <v>16.190000000000001</v>
      </c>
      <c r="I19" s="384">
        <v>13.85</v>
      </c>
      <c r="J19" s="384">
        <v>12.9</v>
      </c>
      <c r="K19" s="283">
        <f t="shared" si="0"/>
        <v>14.073333333333332</v>
      </c>
      <c r="L19" s="282">
        <f>K19*D19</f>
        <v>168.88</v>
      </c>
    </row>
    <row r="20" spans="1:13" s="194" customFormat="1" ht="13" x14ac:dyDescent="0.25">
      <c r="A20" s="276">
        <v>10</v>
      </c>
      <c r="B20" s="404" t="s">
        <v>329</v>
      </c>
      <c r="C20" s="390" t="s">
        <v>325</v>
      </c>
      <c r="D20" s="391">
        <v>40</v>
      </c>
      <c r="E20" s="384">
        <v>13.25</v>
      </c>
      <c r="F20" s="384">
        <v>12.38</v>
      </c>
      <c r="G20" s="384">
        <v>13.21</v>
      </c>
      <c r="H20" s="384">
        <v>11.9</v>
      </c>
      <c r="I20" s="384">
        <v>10.1</v>
      </c>
      <c r="J20" s="384">
        <v>12.28</v>
      </c>
      <c r="K20" s="283">
        <f t="shared" si="0"/>
        <v>12.186666666666667</v>
      </c>
      <c r="L20" s="282">
        <f t="shared" si="1"/>
        <v>487.4666666666667</v>
      </c>
    </row>
    <row r="21" spans="1:13" s="194" customFormat="1" ht="25.5" x14ac:dyDescent="0.25">
      <c r="A21" s="276">
        <v>11</v>
      </c>
      <c r="B21" s="405" t="s">
        <v>330</v>
      </c>
      <c r="C21" s="390" t="s">
        <v>331</v>
      </c>
      <c r="D21" s="391">
        <v>70</v>
      </c>
      <c r="E21" s="384">
        <v>3.82</v>
      </c>
      <c r="F21" s="384">
        <v>2.9</v>
      </c>
      <c r="G21" s="384">
        <v>4.17</v>
      </c>
      <c r="H21" s="384">
        <v>4</v>
      </c>
      <c r="I21" s="384">
        <v>3.52</v>
      </c>
      <c r="J21" s="384">
        <v>3.48</v>
      </c>
      <c r="K21" s="283">
        <f t="shared" si="0"/>
        <v>3.6483333333333334</v>
      </c>
      <c r="L21" s="282">
        <f t="shared" si="1"/>
        <v>255.38333333333333</v>
      </c>
      <c r="M21" s="37"/>
    </row>
    <row r="22" spans="1:13" s="194" customFormat="1" ht="63" customHeight="1" x14ac:dyDescent="0.25">
      <c r="A22" s="276">
        <v>12</v>
      </c>
      <c r="B22" s="404" t="s">
        <v>332</v>
      </c>
      <c r="C22" s="390" t="s">
        <v>325</v>
      </c>
      <c r="D22" s="391">
        <v>8</v>
      </c>
      <c r="E22" s="384">
        <v>17.600000000000001</v>
      </c>
      <c r="F22" s="384">
        <v>12.3</v>
      </c>
      <c r="G22" s="384">
        <v>11.49</v>
      </c>
      <c r="H22" s="384">
        <v>13.7</v>
      </c>
      <c r="I22" s="384">
        <v>14.41</v>
      </c>
      <c r="J22" s="384">
        <v>18.690000000000001</v>
      </c>
      <c r="K22" s="283">
        <f t="shared" si="0"/>
        <v>14.698333333333332</v>
      </c>
      <c r="L22" s="282">
        <f t="shared" si="1"/>
        <v>117.58666666666666</v>
      </c>
    </row>
    <row r="23" spans="1:13" s="194" customFormat="1" ht="25.5" x14ac:dyDescent="0.25">
      <c r="A23" s="276">
        <v>13</v>
      </c>
      <c r="B23" s="404" t="s">
        <v>333</v>
      </c>
      <c r="C23" s="390" t="s">
        <v>334</v>
      </c>
      <c r="D23" s="391">
        <v>16</v>
      </c>
      <c r="E23" s="384">
        <v>49.1</v>
      </c>
      <c r="F23" s="384">
        <v>50</v>
      </c>
      <c r="G23" s="384">
        <v>55</v>
      </c>
      <c r="H23" s="384">
        <v>72</v>
      </c>
      <c r="I23" s="384">
        <v>69</v>
      </c>
      <c r="J23" s="384">
        <v>65.59</v>
      </c>
      <c r="K23" s="283">
        <f t="shared" si="0"/>
        <v>60.115000000000009</v>
      </c>
      <c r="L23" s="282">
        <f t="shared" si="1"/>
        <v>961.84000000000015</v>
      </c>
    </row>
    <row r="24" spans="1:13" s="194" customFormat="1" ht="27.75" customHeight="1" x14ac:dyDescent="0.25">
      <c r="A24" s="276">
        <v>14</v>
      </c>
      <c r="B24" s="404" t="s">
        <v>335</v>
      </c>
      <c r="C24" s="390" t="s">
        <v>334</v>
      </c>
      <c r="D24" s="391">
        <v>18</v>
      </c>
      <c r="E24" s="384">
        <v>28</v>
      </c>
      <c r="F24" s="384">
        <v>24.7</v>
      </c>
      <c r="G24" s="384">
        <v>30</v>
      </c>
      <c r="H24" s="384">
        <v>29.92</v>
      </c>
      <c r="I24" s="384">
        <v>29.3</v>
      </c>
      <c r="J24" s="384">
        <v>27.25</v>
      </c>
      <c r="K24" s="283">
        <f t="shared" si="0"/>
        <v>28.195000000000004</v>
      </c>
      <c r="L24" s="282">
        <f t="shared" si="1"/>
        <v>507.51000000000005</v>
      </c>
    </row>
    <row r="25" spans="1:13" s="194" customFormat="1" ht="26" x14ac:dyDescent="0.25">
      <c r="A25" s="276">
        <v>15</v>
      </c>
      <c r="B25" s="404" t="s">
        <v>336</v>
      </c>
      <c r="C25" s="390" t="s">
        <v>331</v>
      </c>
      <c r="D25" s="391">
        <v>35</v>
      </c>
      <c r="E25" s="384">
        <v>8</v>
      </c>
      <c r="F25" s="384">
        <v>8.0500000000000007</v>
      </c>
      <c r="G25" s="384">
        <v>7.25</v>
      </c>
      <c r="H25" s="384"/>
      <c r="I25" s="384"/>
      <c r="J25" s="384"/>
      <c r="K25" s="283">
        <f>AVERAGE(E25:J25)</f>
        <v>7.7666666666666666</v>
      </c>
      <c r="L25" s="282">
        <f t="shared" si="1"/>
        <v>271.83333333333331</v>
      </c>
    </row>
    <row r="26" spans="1:13" s="194" customFormat="1" ht="59.25" customHeight="1" x14ac:dyDescent="0.25">
      <c r="A26" s="276">
        <v>16</v>
      </c>
      <c r="B26" s="404" t="s">
        <v>337</v>
      </c>
      <c r="C26" s="390" t="s">
        <v>331</v>
      </c>
      <c r="D26" s="393">
        <v>15</v>
      </c>
      <c r="E26" s="384">
        <v>30.46</v>
      </c>
      <c r="F26" s="384">
        <v>38.49</v>
      </c>
      <c r="G26" s="384">
        <v>34.18</v>
      </c>
      <c r="H26" s="384"/>
      <c r="I26" s="384"/>
      <c r="J26" s="384"/>
      <c r="K26" s="283">
        <f t="shared" si="0"/>
        <v>34.376666666666665</v>
      </c>
      <c r="L26" s="282">
        <f t="shared" si="1"/>
        <v>515.65</v>
      </c>
    </row>
    <row r="27" spans="1:13" s="194" customFormat="1" ht="63.5" x14ac:dyDescent="0.25">
      <c r="A27" s="276">
        <v>17</v>
      </c>
      <c r="B27" s="288" t="s">
        <v>338</v>
      </c>
      <c r="C27" s="403" t="s">
        <v>339</v>
      </c>
      <c r="D27" s="393">
        <v>40</v>
      </c>
      <c r="E27" s="384">
        <v>156.6</v>
      </c>
      <c r="F27" s="384">
        <v>154.62</v>
      </c>
      <c r="G27" s="384">
        <v>162.02000000000001</v>
      </c>
      <c r="H27" s="384"/>
      <c r="I27" s="384"/>
      <c r="J27" s="384"/>
      <c r="K27" s="283">
        <f t="shared" si="0"/>
        <v>157.74666666666667</v>
      </c>
      <c r="L27" s="282">
        <f t="shared" si="1"/>
        <v>6309.8666666666668</v>
      </c>
    </row>
    <row r="28" spans="1:13" s="194" customFormat="1" ht="76" x14ac:dyDescent="0.25">
      <c r="A28" s="276">
        <v>18</v>
      </c>
      <c r="B28" s="288" t="s">
        <v>565</v>
      </c>
      <c r="C28" s="403" t="s">
        <v>340</v>
      </c>
      <c r="D28" s="393">
        <v>40</v>
      </c>
      <c r="E28" s="384">
        <v>165</v>
      </c>
      <c r="F28" s="384">
        <v>133.9</v>
      </c>
      <c r="G28" s="384">
        <v>139.9</v>
      </c>
      <c r="H28" s="384"/>
      <c r="I28" s="384"/>
      <c r="J28" s="384"/>
      <c r="K28" s="283">
        <f t="shared" si="0"/>
        <v>146.26666666666665</v>
      </c>
      <c r="L28" s="282">
        <f t="shared" si="1"/>
        <v>5850.6666666666661</v>
      </c>
    </row>
    <row r="29" spans="1:13" s="194" customFormat="1" ht="38.5" x14ac:dyDescent="0.25">
      <c r="A29" s="423">
        <v>19</v>
      </c>
      <c r="B29" s="424" t="s">
        <v>566</v>
      </c>
      <c r="C29" s="425" t="s">
        <v>319</v>
      </c>
      <c r="D29" s="426">
        <v>8</v>
      </c>
      <c r="E29" s="427">
        <v>40</v>
      </c>
      <c r="F29" s="427">
        <v>45.27</v>
      </c>
      <c r="G29" s="427">
        <v>51.27</v>
      </c>
      <c r="H29" s="427">
        <v>49.99</v>
      </c>
      <c r="I29" s="427"/>
      <c r="J29" s="427"/>
      <c r="K29" s="428">
        <f t="shared" si="0"/>
        <v>46.632500000000007</v>
      </c>
      <c r="L29" s="429">
        <f t="shared" si="1"/>
        <v>373.06000000000006</v>
      </c>
    </row>
    <row r="30" spans="1:13" s="194" customFormat="1" ht="37.5" x14ac:dyDescent="0.25">
      <c r="A30" s="432">
        <v>20</v>
      </c>
      <c r="B30" s="434" t="s">
        <v>549</v>
      </c>
      <c r="C30" s="433" t="s">
        <v>317</v>
      </c>
      <c r="D30" s="437">
        <f>4/6</f>
        <v>0.66666666666666663</v>
      </c>
      <c r="E30" s="427">
        <v>119.66</v>
      </c>
      <c r="F30" s="427">
        <v>140</v>
      </c>
      <c r="G30" s="427">
        <v>128.51</v>
      </c>
      <c r="H30" s="427">
        <v>178</v>
      </c>
      <c r="I30" s="427">
        <v>131.58000000000001</v>
      </c>
      <c r="J30" s="427">
        <v>155</v>
      </c>
      <c r="K30" s="428">
        <f t="shared" ref="K30" si="2">AVERAGE(E30:J30)</f>
        <v>142.125</v>
      </c>
      <c r="L30" s="429">
        <f t="shared" ref="L30" si="3">K30*D30</f>
        <v>94.75</v>
      </c>
    </row>
    <row r="31" spans="1:13" s="194" customFormat="1" ht="44.5" customHeight="1" x14ac:dyDescent="0.25">
      <c r="A31" s="213">
        <v>21</v>
      </c>
      <c r="B31" s="406" t="s">
        <v>546</v>
      </c>
      <c r="C31" s="425" t="s">
        <v>543</v>
      </c>
      <c r="D31" s="391">
        <v>1</v>
      </c>
      <c r="E31" s="384">
        <f>34</f>
        <v>34</v>
      </c>
      <c r="F31" s="384">
        <v>27.15</v>
      </c>
      <c r="G31" s="384">
        <v>29.19</v>
      </c>
      <c r="H31" s="384"/>
      <c r="I31" s="384"/>
      <c r="J31" s="384"/>
      <c r="K31" s="428">
        <f t="shared" ref="K31" si="4">AVERAGE(E31:J31)</f>
        <v>30.113333333333333</v>
      </c>
      <c r="L31" s="429">
        <f t="shared" ref="L31" si="5">K31*D31</f>
        <v>30.113333333333333</v>
      </c>
    </row>
    <row r="32" spans="1:13" ht="13.5" thickBot="1" x14ac:dyDescent="0.3">
      <c r="A32" s="685" t="s">
        <v>341</v>
      </c>
      <c r="B32" s="686"/>
      <c r="C32" s="686"/>
      <c r="D32" s="686"/>
      <c r="E32" s="686"/>
      <c r="F32" s="686"/>
      <c r="G32" s="686"/>
      <c r="H32" s="686"/>
      <c r="I32" s="686"/>
      <c r="J32" s="687"/>
      <c r="K32" s="688">
        <f>SUM(L11:L31)</f>
        <v>20539.521666666671</v>
      </c>
      <c r="L32" s="689"/>
    </row>
    <row r="33" spans="1:12" ht="13" thickBot="1" x14ac:dyDescent="0.3"/>
    <row r="34" spans="1:12" ht="13.5" thickBot="1" x14ac:dyDescent="0.35">
      <c r="A34" s="573" t="s">
        <v>342</v>
      </c>
      <c r="B34" s="574"/>
      <c r="C34" s="574"/>
      <c r="D34" s="574"/>
      <c r="E34" s="574"/>
      <c r="F34" s="574"/>
      <c r="G34" s="574"/>
      <c r="H34" s="574"/>
      <c r="I34" s="574"/>
      <c r="J34" s="575"/>
      <c r="K34" s="690">
        <f>K32/'Limpeza - Item 1'!E185</f>
        <v>1867.2292424242428</v>
      </c>
      <c r="L34" s="691"/>
    </row>
    <row r="35" spans="1:12" ht="13" x14ac:dyDescent="0.3">
      <c r="A35" s="217"/>
      <c r="B35" s="217"/>
      <c r="C35" s="217"/>
      <c r="D35" s="217"/>
      <c r="E35" s="217"/>
      <c r="F35" s="217"/>
      <c r="G35" s="217"/>
      <c r="H35" s="217"/>
      <c r="I35" s="217"/>
      <c r="J35" s="217"/>
      <c r="K35" s="218"/>
      <c r="L35" s="218"/>
    </row>
    <row r="37" spans="1:12" ht="13" thickBot="1" x14ac:dyDescent="0.3"/>
    <row r="38" spans="1:12" ht="13" x14ac:dyDescent="0.25">
      <c r="A38" s="604" t="s">
        <v>283</v>
      </c>
      <c r="B38" s="607" t="s">
        <v>343</v>
      </c>
      <c r="C38" s="610" t="s">
        <v>285</v>
      </c>
      <c r="D38" s="613" t="s">
        <v>286</v>
      </c>
      <c r="E38" s="616" t="s">
        <v>287</v>
      </c>
      <c r="F38" s="617"/>
      <c r="G38" s="617"/>
      <c r="H38" s="617"/>
      <c r="I38" s="617"/>
      <c r="J38" s="618"/>
      <c r="K38" s="619" t="s">
        <v>288</v>
      </c>
      <c r="L38" s="620"/>
    </row>
    <row r="39" spans="1:12" ht="13.5" x14ac:dyDescent="0.25">
      <c r="A39" s="605"/>
      <c r="B39" s="669"/>
      <c r="C39" s="611"/>
      <c r="D39" s="614"/>
      <c r="E39" s="190" t="s">
        <v>40</v>
      </c>
      <c r="F39" s="191" t="s">
        <v>42</v>
      </c>
      <c r="G39" s="191" t="s">
        <v>45</v>
      </c>
      <c r="H39" s="191" t="s">
        <v>48</v>
      </c>
      <c r="I39" s="191" t="s">
        <v>84</v>
      </c>
      <c r="J39" s="192" t="s">
        <v>86</v>
      </c>
      <c r="K39" s="621" t="s">
        <v>289</v>
      </c>
      <c r="L39" s="623" t="s">
        <v>290</v>
      </c>
    </row>
    <row r="40" spans="1:12" ht="28.5" customHeight="1" x14ac:dyDescent="0.25">
      <c r="A40" s="606"/>
      <c r="B40" s="692"/>
      <c r="C40" s="612"/>
      <c r="D40" s="615"/>
      <c r="E40" s="210" t="s">
        <v>291</v>
      </c>
      <c r="F40" s="211" t="s">
        <v>291</v>
      </c>
      <c r="G40" s="211" t="s">
        <v>291</v>
      </c>
      <c r="H40" s="211" t="s">
        <v>291</v>
      </c>
      <c r="I40" s="211" t="s">
        <v>291</v>
      </c>
      <c r="J40" s="212" t="s">
        <v>291</v>
      </c>
      <c r="K40" s="622"/>
      <c r="L40" s="624"/>
    </row>
    <row r="41" spans="1:12" ht="14" x14ac:dyDescent="0.25">
      <c r="A41" s="263">
        <v>1</v>
      </c>
      <c r="B41" s="394" t="s">
        <v>344</v>
      </c>
      <c r="C41" s="407" t="s">
        <v>285</v>
      </c>
      <c r="D41" s="395">
        <v>192</v>
      </c>
      <c r="E41" s="396">
        <v>20</v>
      </c>
      <c r="F41" s="396">
        <v>19.7</v>
      </c>
      <c r="G41" s="396">
        <v>19.98</v>
      </c>
      <c r="H41" s="396">
        <v>26.22</v>
      </c>
      <c r="I41" s="396">
        <v>22</v>
      </c>
      <c r="J41" s="396">
        <v>22.32</v>
      </c>
      <c r="K41" s="410">
        <f t="shared" ref="K41:K54" si="6">+AVERAGE(E41:J41)</f>
        <v>21.703333333333333</v>
      </c>
      <c r="L41" s="411">
        <f t="shared" ref="L41:L54" si="7">AVERAGE(D41*K41)</f>
        <v>4167.04</v>
      </c>
    </row>
    <row r="42" spans="1:12" ht="14" x14ac:dyDescent="0.25">
      <c r="A42" s="213">
        <v>2</v>
      </c>
      <c r="B42" s="394" t="s">
        <v>345</v>
      </c>
      <c r="C42" s="215" t="s">
        <v>285</v>
      </c>
      <c r="D42" s="395">
        <v>5</v>
      </c>
      <c r="E42" s="396">
        <v>20.5</v>
      </c>
      <c r="F42" s="396">
        <v>15.99</v>
      </c>
      <c r="G42" s="396">
        <v>18</v>
      </c>
      <c r="H42" s="396">
        <v>21.07</v>
      </c>
      <c r="I42" s="396">
        <v>17.489999999999998</v>
      </c>
      <c r="J42" s="396">
        <v>16.3</v>
      </c>
      <c r="K42" s="410">
        <f t="shared" si="6"/>
        <v>18.224999999999998</v>
      </c>
      <c r="L42" s="411">
        <f t="shared" si="7"/>
        <v>91.124999999999986</v>
      </c>
    </row>
    <row r="43" spans="1:12" ht="14" x14ac:dyDescent="0.25">
      <c r="A43" s="213">
        <v>3</v>
      </c>
      <c r="B43" s="394" t="s">
        <v>346</v>
      </c>
      <c r="C43" s="215" t="s">
        <v>285</v>
      </c>
      <c r="D43" s="395">
        <v>10</v>
      </c>
      <c r="E43" s="396">
        <v>5.95</v>
      </c>
      <c r="F43" s="396">
        <v>9.0500000000000007</v>
      </c>
      <c r="G43" s="396">
        <v>10.01</v>
      </c>
      <c r="H43" s="396">
        <v>10.99</v>
      </c>
      <c r="I43" s="396">
        <v>10.38</v>
      </c>
      <c r="J43" s="396">
        <v>11.5</v>
      </c>
      <c r="K43" s="410">
        <f t="shared" si="6"/>
        <v>9.6466666666666665</v>
      </c>
      <c r="L43" s="411">
        <f t="shared" si="7"/>
        <v>96.466666666666669</v>
      </c>
    </row>
    <row r="44" spans="1:12" ht="38" x14ac:dyDescent="0.25">
      <c r="A44" s="213">
        <v>4</v>
      </c>
      <c r="B44" s="394" t="s">
        <v>347</v>
      </c>
      <c r="C44" s="215" t="s">
        <v>296</v>
      </c>
      <c r="D44" s="395">
        <v>420</v>
      </c>
      <c r="E44" s="396">
        <v>7.33</v>
      </c>
      <c r="F44" s="396">
        <v>7.75</v>
      </c>
      <c r="G44" s="396">
        <v>6.2</v>
      </c>
      <c r="H44" s="396">
        <v>6.9</v>
      </c>
      <c r="I44" s="396">
        <v>5.5</v>
      </c>
      <c r="J44" s="396">
        <v>6.5</v>
      </c>
      <c r="K44" s="410">
        <f t="shared" si="6"/>
        <v>6.6966666666666663</v>
      </c>
      <c r="L44" s="411">
        <f t="shared" si="7"/>
        <v>2812.6</v>
      </c>
    </row>
    <row r="45" spans="1:12" ht="38" x14ac:dyDescent="0.25">
      <c r="A45" s="213">
        <v>5</v>
      </c>
      <c r="B45" s="394" t="s">
        <v>348</v>
      </c>
      <c r="C45" s="215" t="s">
        <v>296</v>
      </c>
      <c r="D45" s="395">
        <v>180</v>
      </c>
      <c r="E45" s="396">
        <v>7.33</v>
      </c>
      <c r="F45" s="396">
        <v>7.75</v>
      </c>
      <c r="G45" s="396">
        <v>6.2</v>
      </c>
      <c r="H45" s="396">
        <v>6.9</v>
      </c>
      <c r="I45" s="396">
        <v>5.5</v>
      </c>
      <c r="J45" s="396">
        <v>6.5</v>
      </c>
      <c r="K45" s="410">
        <f t="shared" si="6"/>
        <v>6.6966666666666663</v>
      </c>
      <c r="L45" s="411">
        <f t="shared" si="7"/>
        <v>1205.3999999999999</v>
      </c>
    </row>
    <row r="46" spans="1:12" ht="14" x14ac:dyDescent="0.25">
      <c r="A46" s="213">
        <v>6</v>
      </c>
      <c r="B46" s="394" t="s">
        <v>349</v>
      </c>
      <c r="C46" s="215" t="s">
        <v>285</v>
      </c>
      <c r="D46" s="395">
        <v>10</v>
      </c>
      <c r="E46" s="396">
        <v>21.5</v>
      </c>
      <c r="F46" s="396">
        <v>22.5</v>
      </c>
      <c r="G46" s="396">
        <v>23.3</v>
      </c>
      <c r="H46" s="396">
        <v>24.99</v>
      </c>
      <c r="I46" s="396">
        <v>28.87</v>
      </c>
      <c r="J46" s="396">
        <v>23.97</v>
      </c>
      <c r="K46" s="410">
        <f t="shared" si="6"/>
        <v>24.188333333333333</v>
      </c>
      <c r="L46" s="411">
        <f t="shared" si="7"/>
        <v>241.88333333333333</v>
      </c>
    </row>
    <row r="47" spans="1:12" ht="14" x14ac:dyDescent="0.25">
      <c r="A47" s="213">
        <v>7</v>
      </c>
      <c r="B47" s="394" t="s">
        <v>350</v>
      </c>
      <c r="C47" s="215" t="s">
        <v>285</v>
      </c>
      <c r="D47" s="395">
        <v>10</v>
      </c>
      <c r="E47" s="396">
        <v>40.49</v>
      </c>
      <c r="F47" s="396">
        <v>42.56</v>
      </c>
      <c r="G47" s="396">
        <v>49</v>
      </c>
      <c r="H47" s="396">
        <v>36.99</v>
      </c>
      <c r="I47" s="396">
        <v>55.9</v>
      </c>
      <c r="J47" s="396">
        <v>41.9</v>
      </c>
      <c r="K47" s="410">
        <f t="shared" si="6"/>
        <v>44.473333333333336</v>
      </c>
      <c r="L47" s="411">
        <f t="shared" si="7"/>
        <v>444.73333333333335</v>
      </c>
    </row>
    <row r="48" spans="1:12" ht="14" x14ac:dyDescent="0.25">
      <c r="A48" s="213">
        <v>8</v>
      </c>
      <c r="B48" s="394" t="s">
        <v>351</v>
      </c>
      <c r="C48" s="215" t="s">
        <v>285</v>
      </c>
      <c r="D48" s="395">
        <v>2</v>
      </c>
      <c r="E48" s="396">
        <v>14.5</v>
      </c>
      <c r="F48" s="396">
        <v>16.399999999999999</v>
      </c>
      <c r="G48" s="396">
        <v>23.89</v>
      </c>
      <c r="H48" s="396">
        <v>23.15</v>
      </c>
      <c r="I48" s="396">
        <v>29.99</v>
      </c>
      <c r="J48" s="396"/>
      <c r="K48" s="410">
        <f t="shared" si="6"/>
        <v>21.585999999999999</v>
      </c>
      <c r="L48" s="411">
        <f t="shared" si="7"/>
        <v>43.171999999999997</v>
      </c>
    </row>
    <row r="49" spans="1:12" ht="14" x14ac:dyDescent="0.25">
      <c r="A49" s="213">
        <v>9</v>
      </c>
      <c r="B49" s="394" t="s">
        <v>352</v>
      </c>
      <c r="C49" s="215" t="s">
        <v>285</v>
      </c>
      <c r="D49" s="395">
        <v>2</v>
      </c>
      <c r="E49" s="396">
        <v>29.97</v>
      </c>
      <c r="F49" s="396">
        <v>34.35</v>
      </c>
      <c r="G49" s="396">
        <v>34.85</v>
      </c>
      <c r="H49" s="396">
        <v>33.85</v>
      </c>
      <c r="I49" s="396">
        <v>39.99</v>
      </c>
      <c r="J49" s="396">
        <v>37.04</v>
      </c>
      <c r="K49" s="410">
        <f t="shared" si="6"/>
        <v>35.008333333333333</v>
      </c>
      <c r="L49" s="411">
        <f t="shared" si="7"/>
        <v>70.016666666666666</v>
      </c>
    </row>
    <row r="50" spans="1:12" ht="14" x14ac:dyDescent="0.25">
      <c r="A50" s="213">
        <v>10</v>
      </c>
      <c r="B50" s="408" t="s">
        <v>353</v>
      </c>
      <c r="C50" s="215" t="s">
        <v>285</v>
      </c>
      <c r="D50" s="395">
        <v>8</v>
      </c>
      <c r="E50" s="396">
        <v>27.53</v>
      </c>
      <c r="F50" s="396">
        <v>27.53</v>
      </c>
      <c r="G50" s="396">
        <v>37.9</v>
      </c>
      <c r="H50" s="396">
        <v>39.9</v>
      </c>
      <c r="I50" s="396">
        <v>37.69</v>
      </c>
      <c r="J50" s="396">
        <v>34.69</v>
      </c>
      <c r="K50" s="410">
        <f t="shared" si="6"/>
        <v>34.206666666666671</v>
      </c>
      <c r="L50" s="411">
        <f t="shared" si="7"/>
        <v>273.65333333333336</v>
      </c>
    </row>
    <row r="51" spans="1:12" ht="14" x14ac:dyDescent="0.25">
      <c r="A51" s="213">
        <v>11</v>
      </c>
      <c r="B51" s="394" t="s">
        <v>354</v>
      </c>
      <c r="C51" s="215" t="s">
        <v>285</v>
      </c>
      <c r="D51" s="395">
        <v>2</v>
      </c>
      <c r="E51" s="396">
        <v>73.31</v>
      </c>
      <c r="F51" s="396">
        <v>69</v>
      </c>
      <c r="G51" s="396">
        <v>82.08</v>
      </c>
      <c r="H51" s="396">
        <v>75.040000000000006</v>
      </c>
      <c r="I51" s="396">
        <v>87.99</v>
      </c>
      <c r="J51" s="396">
        <v>87.94</v>
      </c>
      <c r="K51" s="410">
        <f t="shared" si="6"/>
        <v>79.226666666666674</v>
      </c>
      <c r="L51" s="411">
        <f t="shared" si="7"/>
        <v>158.45333333333335</v>
      </c>
    </row>
    <row r="52" spans="1:12" ht="25.5" x14ac:dyDescent="0.25">
      <c r="A52" s="213">
        <v>12</v>
      </c>
      <c r="B52" s="394" t="s">
        <v>355</v>
      </c>
      <c r="C52" s="215" t="s">
        <v>285</v>
      </c>
      <c r="D52" s="395">
        <v>36</v>
      </c>
      <c r="E52" s="396">
        <v>21.99</v>
      </c>
      <c r="F52" s="396">
        <v>25.18</v>
      </c>
      <c r="G52" s="396">
        <v>26.99</v>
      </c>
      <c r="H52" s="396">
        <v>35.14</v>
      </c>
      <c r="I52" s="396"/>
      <c r="J52" s="396"/>
      <c r="K52" s="410">
        <f t="shared" si="6"/>
        <v>27.324999999999999</v>
      </c>
      <c r="L52" s="411">
        <f t="shared" si="7"/>
        <v>983.69999999999993</v>
      </c>
    </row>
    <row r="53" spans="1:12" ht="14" x14ac:dyDescent="0.25">
      <c r="A53" s="213">
        <v>13</v>
      </c>
      <c r="B53" s="397" t="s">
        <v>356</v>
      </c>
      <c r="C53" s="409" t="s">
        <v>285</v>
      </c>
      <c r="D53" s="398">
        <v>2</v>
      </c>
      <c r="E53" s="396">
        <v>59.5</v>
      </c>
      <c r="F53" s="396">
        <v>59.5</v>
      </c>
      <c r="G53" s="396">
        <v>78.489999999999995</v>
      </c>
      <c r="H53" s="396">
        <v>69.900000000000006</v>
      </c>
      <c r="I53" s="396">
        <v>78.900000000000006</v>
      </c>
      <c r="J53" s="396">
        <v>54.4</v>
      </c>
      <c r="K53" s="410">
        <f t="shared" si="6"/>
        <v>66.781666666666652</v>
      </c>
      <c r="L53" s="411">
        <f t="shared" si="7"/>
        <v>133.5633333333333</v>
      </c>
    </row>
    <row r="54" spans="1:12" ht="25.5" x14ac:dyDescent="0.25">
      <c r="A54" s="250">
        <v>14</v>
      </c>
      <c r="B54" s="392" t="s">
        <v>357</v>
      </c>
      <c r="C54" s="215" t="s">
        <v>323</v>
      </c>
      <c r="D54" s="399">
        <v>40</v>
      </c>
      <c r="E54" s="396">
        <v>20.12</v>
      </c>
      <c r="F54" s="396">
        <v>39.630000000000003</v>
      </c>
      <c r="G54" s="396">
        <v>29.9</v>
      </c>
      <c r="H54" s="396"/>
      <c r="I54" s="396"/>
      <c r="J54" s="396"/>
      <c r="K54" s="410">
        <f t="shared" si="6"/>
        <v>29.883333333333336</v>
      </c>
      <c r="L54" s="411">
        <f t="shared" si="7"/>
        <v>1195.3333333333335</v>
      </c>
    </row>
    <row r="55" spans="1:12" ht="13" x14ac:dyDescent="0.25">
      <c r="A55" s="573" t="s">
        <v>358</v>
      </c>
      <c r="B55" s="574"/>
      <c r="C55" s="574"/>
      <c r="D55" s="574"/>
      <c r="E55" s="574"/>
      <c r="F55" s="574"/>
      <c r="G55" s="574"/>
      <c r="H55" s="574"/>
      <c r="I55" s="574"/>
      <c r="J55" s="575"/>
      <c r="K55" s="693">
        <f>SUM(L41:L54)</f>
        <v>11917.140333333335</v>
      </c>
      <c r="L55" s="694"/>
    </row>
    <row r="56" spans="1:12" ht="13.5" thickBot="1" x14ac:dyDescent="0.3">
      <c r="A56" s="184"/>
      <c r="B56" s="184"/>
      <c r="C56" s="219"/>
      <c r="D56" s="220"/>
      <c r="E56" s="221"/>
      <c r="F56" s="221"/>
      <c r="G56" s="221"/>
      <c r="H56" s="221"/>
      <c r="I56" s="221"/>
      <c r="J56" s="221"/>
      <c r="K56" s="222"/>
      <c r="L56" s="222"/>
    </row>
    <row r="57" spans="1:12" ht="13.5" thickBot="1" x14ac:dyDescent="0.35">
      <c r="A57" s="695" t="s">
        <v>359</v>
      </c>
      <c r="B57" s="696"/>
      <c r="C57" s="696"/>
      <c r="D57" s="696"/>
      <c r="E57" s="696"/>
      <c r="F57" s="696"/>
      <c r="G57" s="696"/>
      <c r="H57" s="696"/>
      <c r="I57" s="696"/>
      <c r="J57" s="697"/>
      <c r="K57" s="690">
        <f>K55/12/'Limpeza - Item 1'!E185</f>
        <v>90.281366161616177</v>
      </c>
      <c r="L57" s="691"/>
    </row>
    <row r="58" spans="1:12" ht="13.5" thickBot="1" x14ac:dyDescent="0.35">
      <c r="A58" s="217"/>
      <c r="B58" s="217"/>
      <c r="C58" s="217"/>
      <c r="D58" s="217"/>
      <c r="E58" s="217"/>
      <c r="F58" s="217"/>
      <c r="G58" s="217"/>
      <c r="H58" s="217"/>
      <c r="I58" s="217"/>
      <c r="J58" s="217"/>
      <c r="K58" s="218"/>
      <c r="L58" s="218"/>
    </row>
    <row r="59" spans="1:12" ht="13.5" thickBot="1" x14ac:dyDescent="0.35">
      <c r="A59" s="698" t="s">
        <v>360</v>
      </c>
      <c r="B59" s="699"/>
      <c r="C59" s="699"/>
      <c r="D59" s="699"/>
      <c r="E59" s="699"/>
      <c r="F59" s="699"/>
      <c r="G59" s="699"/>
      <c r="H59" s="699"/>
      <c r="I59" s="699"/>
      <c r="J59" s="700"/>
      <c r="K59" s="701" t="s">
        <v>361</v>
      </c>
      <c r="L59" s="702"/>
    </row>
    <row r="60" spans="1:12" ht="13" x14ac:dyDescent="0.3">
      <c r="A60" s="712" t="s">
        <v>362</v>
      </c>
      <c r="B60" s="713"/>
      <c r="C60" s="713"/>
      <c r="D60" s="713"/>
      <c r="E60" s="713"/>
      <c r="F60" s="713"/>
      <c r="G60" s="713"/>
      <c r="H60" s="713"/>
      <c r="I60" s="713"/>
      <c r="J60" s="713"/>
      <c r="K60" s="703">
        <f>K34</f>
        <v>1867.2292424242428</v>
      </c>
      <c r="L60" s="704"/>
    </row>
    <row r="61" spans="1:12" ht="13.5" thickBot="1" x14ac:dyDescent="0.35">
      <c r="A61" s="710" t="s">
        <v>363</v>
      </c>
      <c r="B61" s="711"/>
      <c r="C61" s="711"/>
      <c r="D61" s="711"/>
      <c r="E61" s="711"/>
      <c r="F61" s="711"/>
      <c r="G61" s="711"/>
      <c r="H61" s="711"/>
      <c r="I61" s="711"/>
      <c r="J61" s="711"/>
      <c r="K61" s="714">
        <f>K57</f>
        <v>90.281366161616177</v>
      </c>
      <c r="L61" s="715"/>
    </row>
    <row r="62" spans="1:12" ht="13.5" thickBot="1" x14ac:dyDescent="0.35">
      <c r="A62" s="705" t="s">
        <v>364</v>
      </c>
      <c r="B62" s="706"/>
      <c r="C62" s="706"/>
      <c r="D62" s="706"/>
      <c r="E62" s="706"/>
      <c r="F62" s="706"/>
      <c r="G62" s="706"/>
      <c r="H62" s="706"/>
      <c r="I62" s="706"/>
      <c r="J62" s="707"/>
      <c r="K62" s="708">
        <f>SUM(K60:L61)</f>
        <v>1957.510608585859</v>
      </c>
      <c r="L62" s="709"/>
    </row>
    <row r="64" spans="1:12" ht="13" thickBot="1" x14ac:dyDescent="0.3"/>
    <row r="65" spans="1:12" ht="20.25" customHeight="1" x14ac:dyDescent="0.25">
      <c r="A65" s="631"/>
      <c r="B65" s="632"/>
      <c r="C65" s="637" t="s">
        <v>305</v>
      </c>
      <c r="D65" s="640"/>
      <c r="E65" s="641"/>
      <c r="F65" s="641"/>
      <c r="G65" s="641"/>
      <c r="H65" s="641"/>
      <c r="I65" s="641"/>
      <c r="J65" s="641"/>
      <c r="K65" s="641"/>
      <c r="L65" s="642"/>
    </row>
    <row r="66" spans="1:12" ht="28.5" customHeight="1" x14ac:dyDescent="0.25">
      <c r="A66" s="633"/>
      <c r="B66" s="634"/>
      <c r="C66" s="638"/>
      <c r="D66" s="643"/>
      <c r="E66" s="644"/>
      <c r="F66" s="644"/>
      <c r="G66" s="644"/>
      <c r="H66" s="644"/>
      <c r="I66" s="644"/>
      <c r="J66" s="644"/>
      <c r="K66" s="644"/>
      <c r="L66" s="645"/>
    </row>
    <row r="67" spans="1:12" ht="14.25" customHeight="1" x14ac:dyDescent="0.25">
      <c r="A67" s="633"/>
      <c r="B67" s="634"/>
      <c r="C67" s="638"/>
      <c r="D67" s="643"/>
      <c r="E67" s="644"/>
      <c r="F67" s="644"/>
      <c r="G67" s="644"/>
      <c r="H67" s="644"/>
      <c r="I67" s="644"/>
      <c r="J67" s="644"/>
      <c r="K67" s="644"/>
      <c r="L67" s="645"/>
    </row>
    <row r="68" spans="1:12" ht="13" thickBot="1" x14ac:dyDescent="0.3">
      <c r="A68" s="635"/>
      <c r="B68" s="636"/>
      <c r="C68" s="639"/>
      <c r="D68" s="646"/>
      <c r="E68" s="647"/>
      <c r="F68" s="647"/>
      <c r="G68" s="647"/>
      <c r="H68" s="647"/>
      <c r="I68" s="647"/>
      <c r="J68" s="647"/>
      <c r="K68" s="647"/>
      <c r="L68" s="648"/>
    </row>
  </sheetData>
  <mergeCells count="54">
    <mergeCell ref="K60:L60"/>
    <mergeCell ref="A62:J62"/>
    <mergeCell ref="K62:L62"/>
    <mergeCell ref="A65:B68"/>
    <mergeCell ref="C65:C68"/>
    <mergeCell ref="D65:L68"/>
    <mergeCell ref="A61:J61"/>
    <mergeCell ref="A60:J60"/>
    <mergeCell ref="K61:L61"/>
    <mergeCell ref="K55:L55"/>
    <mergeCell ref="A57:J57"/>
    <mergeCell ref="K57:L57"/>
    <mergeCell ref="A59:J59"/>
    <mergeCell ref="K59:L59"/>
    <mergeCell ref="A55:J55"/>
    <mergeCell ref="A32:J32"/>
    <mergeCell ref="K32:L32"/>
    <mergeCell ref="A34:J34"/>
    <mergeCell ref="K34:L34"/>
    <mergeCell ref="A38:A40"/>
    <mergeCell ref="B38:B40"/>
    <mergeCell ref="C38:C40"/>
    <mergeCell ref="D38:D40"/>
    <mergeCell ref="E38:J38"/>
    <mergeCell ref="K38:L38"/>
    <mergeCell ref="K39:K40"/>
    <mergeCell ref="L39:L40"/>
    <mergeCell ref="A1:L1"/>
    <mergeCell ref="B2:D2"/>
    <mergeCell ref="F2:I2"/>
    <mergeCell ref="K2:L2"/>
    <mergeCell ref="B3:D3"/>
    <mergeCell ref="F3:I3"/>
    <mergeCell ref="K3:L3"/>
    <mergeCell ref="B4:D4"/>
    <mergeCell ref="F4:I4"/>
    <mergeCell ref="K4:L4"/>
    <mergeCell ref="B5:D5"/>
    <mergeCell ref="F5:I5"/>
    <mergeCell ref="K5:L5"/>
    <mergeCell ref="B6:D6"/>
    <mergeCell ref="F6:I6"/>
    <mergeCell ref="K6:L6"/>
    <mergeCell ref="B7:D7"/>
    <mergeCell ref="F7:I7"/>
    <mergeCell ref="K7:L7"/>
    <mergeCell ref="K8:L8"/>
    <mergeCell ref="K9:K10"/>
    <mergeCell ref="L9:L10"/>
    <mergeCell ref="A8:A10"/>
    <mergeCell ref="B8:B10"/>
    <mergeCell ref="C8:C10"/>
    <mergeCell ref="D8:D10"/>
    <mergeCell ref="E8:J8"/>
  </mergeCells>
  <pageMargins left="0.511811024" right="0.511811024" top="0.78740157499999996" bottom="0.78740157499999996" header="0.31496062000000002" footer="0.31496062000000002"/>
  <pageSetup paperSize="9" orientation="landscape" verticalDpi="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74AE241EBEF1C847BD7D9E9773DC3D81" ma:contentTypeVersion="13" ma:contentTypeDescription="Crie um novo documento." ma:contentTypeScope="" ma:versionID="85181882a4631b8eb33074c90e7181b8">
  <xsd:schema xmlns:xsd="http://www.w3.org/2001/XMLSchema" xmlns:xs="http://www.w3.org/2001/XMLSchema" xmlns:p="http://schemas.microsoft.com/office/2006/metadata/properties" xmlns:ns2="8be9016c-abf9-4578-ad08-31348c4d38a2" xmlns:ns3="f664ba59-bd10-42fd-aad1-7c4cb888b93d" targetNamespace="http://schemas.microsoft.com/office/2006/metadata/properties" ma:root="true" ma:fieldsID="414de3ff29f92f3aaef77e0465408464" ns2:_="" ns3:_="">
    <xsd:import namespace="8be9016c-abf9-4578-ad08-31348c4d38a2"/>
    <xsd:import namespace="f664ba59-bd10-42fd-aad1-7c4cb888b93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be9016c-abf9-4578-ad08-31348c4d38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lcf76f155ced4ddcb4097134ff3c332f" ma:index="15" nillable="true" ma:taxonomy="true" ma:internalName="lcf76f155ced4ddcb4097134ff3c332f" ma:taxonomyFieldName="MediaServiceImageTags" ma:displayName="Marcações de imagem" ma:readOnly="false" ma:fieldId="{5cf76f15-5ced-4ddc-b409-7134ff3c332f}" ma:taxonomyMulti="true" ma:sspId="c054c73c-16f2-45fe-b7f4-a1768d2091e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664ba59-bd10-42fd-aad1-7c4cb888b93d" elementFormDefault="qualified">
    <xsd:import namespace="http://schemas.microsoft.com/office/2006/documentManagement/types"/>
    <xsd:import namespace="http://schemas.microsoft.com/office/infopath/2007/PartnerControls"/>
    <xsd:element name="SharedWithUsers" ma:index="10"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hes de Compartilhado Com" ma:internalName="SharedWithDetails" ma:readOnly="true">
      <xsd:simpleType>
        <xsd:restriction base="dms:Note">
          <xsd:maxLength value="255"/>
        </xsd:restriction>
      </xsd:simpleType>
    </xsd:element>
    <xsd:element name="TaxCatchAll" ma:index="16" nillable="true" ma:displayName="Taxonomy Catch All Column" ma:hidden="true" ma:list="{2bb0a7ee-15fe-47a6-8fcd-3a5f865ff318}" ma:internalName="TaxCatchAll" ma:showField="CatchAllData" ma:web="f664ba59-bd10-42fd-aad1-7c4cb888b93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8be9016c-abf9-4578-ad08-31348c4d38a2">
      <Terms xmlns="http://schemas.microsoft.com/office/infopath/2007/PartnerControls"/>
    </lcf76f155ced4ddcb4097134ff3c332f>
    <TaxCatchAll xmlns="f664ba59-bd10-42fd-aad1-7c4cb888b93d" xsi:nil="true"/>
  </documentManagement>
</p:properties>
</file>

<file path=customXml/itemProps1.xml><?xml version="1.0" encoding="utf-8"?>
<ds:datastoreItem xmlns:ds="http://schemas.openxmlformats.org/officeDocument/2006/customXml" ds:itemID="{9DDA9047-D7A3-411E-B0DB-0A3999BBBF86}">
  <ds:schemaRefs>
    <ds:schemaRef ds:uri="http://schemas.microsoft.com/sharepoint/v3/contenttype/forms"/>
  </ds:schemaRefs>
</ds:datastoreItem>
</file>

<file path=customXml/itemProps2.xml><?xml version="1.0" encoding="utf-8"?>
<ds:datastoreItem xmlns:ds="http://schemas.openxmlformats.org/officeDocument/2006/customXml" ds:itemID="{59C5A4B7-B232-4DC0-B4EF-B4E4AA057E5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e9016c-abf9-4578-ad08-31348c4d38a2"/>
    <ds:schemaRef ds:uri="f664ba59-bd10-42fd-aad1-7c4cb888b93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DF9FF2B-8EBF-4831-863C-FC4AE9569AA1}">
  <ds:schemaRefs>
    <ds:schemaRef ds:uri="http://schemas.microsoft.com/office/2006/metadata/properties"/>
    <ds:schemaRef ds:uri="http://schemas.microsoft.com/office/infopath/2007/PartnerControls"/>
    <ds:schemaRef ds:uri="8be9016c-abf9-4578-ad08-31348c4d38a2"/>
    <ds:schemaRef ds:uri="f664ba59-bd10-42fd-aad1-7c4cb888b93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15</vt:i4>
      </vt:variant>
    </vt:vector>
  </HeadingPairs>
  <TitlesOfParts>
    <vt:vector size="15" baseType="lpstr">
      <vt:lpstr>Mód2.2</vt:lpstr>
      <vt:lpstr>Resumo</vt:lpstr>
      <vt:lpstr>Limpeza - Item 1</vt:lpstr>
      <vt:lpstr>Controle de pragas - Item 2</vt:lpstr>
      <vt:lpstr>Remanejamento - Item 3</vt:lpstr>
      <vt:lpstr>Jardinagem - Item4</vt:lpstr>
      <vt:lpstr>Mód2.3 </vt:lpstr>
      <vt:lpstr>Uniform&amp;EPIs </vt:lpstr>
      <vt:lpstr>Materiais</vt:lpstr>
      <vt:lpstr>Equipamentos</vt:lpstr>
      <vt:lpstr>Mód3</vt:lpstr>
      <vt:lpstr>Mód6</vt:lpstr>
      <vt:lpstr>Mód4</vt:lpstr>
      <vt:lpstr>FatorK</vt:lpstr>
      <vt:lpstr>MemóriaCálculo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Planilha de Custos IN 5/2017</dc:title>
  <dc:subject/>
  <dc:creator>Alvaro.Barbosa@dnpm.gov.br</dc:creator>
  <cp:keywords>Planilha de Custos IN 5/2017</cp:keywords>
  <dc:description/>
  <cp:lastModifiedBy>Jose Maduro Toledo Junior</cp:lastModifiedBy>
  <cp:revision/>
  <dcterms:created xsi:type="dcterms:W3CDTF">2010-12-08T17:56:29Z</dcterms:created>
  <dcterms:modified xsi:type="dcterms:W3CDTF">2025-06-13T13:16:12Z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0x01010074AE241EBEF1C847BD7D9E9773DC3D81</vt:lpwstr>
  </property>
  <property fmtid="{D5CDD505-2E9C-101B-9397-08002B2CF9AE}" pid="3" name="MediaServiceImageTags">
    <vt:lpwstr/>
  </property>
</Properties>
</file>